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hysics\URI\"/>
    </mc:Choice>
  </mc:AlternateContent>
  <bookViews>
    <workbookView xWindow="15" yWindow="-45" windowWidth="14580" windowHeight="9345"/>
  </bookViews>
  <sheets>
    <sheet name="ASE Collision Matrix 4.0kg" sheetId="1" r:id="rId1"/>
  </sheets>
  <definedNames>
    <definedName name="solver_adj" localSheetId="0" hidden="1">'ASE Collision Matrix 4.0kg'!$AO$1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'ASE Collision Matrix 4.0kg'!#REF!</definedName>
    <definedName name="solver_lhs2" localSheetId="0" hidden="1">'ASE Collision Matrix 4.0kg'!#REF!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'ASE Collision Matrix 4.0kg'!$BB$1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hs1" localSheetId="0" hidden="1">'ASE Collision Matrix 4.0kg'!#REF!</definedName>
    <definedName name="solver_rhs2" localSheetId="0" hidden="1">'ASE Collision Matrix 4.0kg'!#REF!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578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AQ58" i="1" l="1"/>
  <c r="AR56" i="1"/>
  <c r="AQ56" i="1"/>
  <c r="AO56" i="1"/>
  <c r="AR55" i="1"/>
  <c r="AT55" i="1"/>
  <c r="AN58" i="1"/>
  <c r="AQ55" i="1"/>
  <c r="AN55" i="1"/>
  <c r="AU56" i="1"/>
  <c r="AO59" i="1"/>
  <c r="AQ51" i="1"/>
  <c r="AR49" i="1"/>
  <c r="AQ49" i="1"/>
  <c r="AU48" i="1"/>
  <c r="AO51" i="1"/>
  <c r="AO49" i="1"/>
  <c r="AR48" i="1"/>
  <c r="AQ48" i="1"/>
  <c r="AN48" i="1"/>
  <c r="AT49" i="1"/>
  <c r="AN52" i="1"/>
  <c r="AN41" i="1"/>
  <c r="AR42" i="1"/>
  <c r="AQ42" i="1"/>
  <c r="AR41" i="1"/>
  <c r="AQ41" i="1"/>
  <c r="AO42" i="1"/>
  <c r="AU42" i="1"/>
  <c r="AO45" i="1"/>
  <c r="AQ44" i="1"/>
  <c r="AP37" i="1"/>
  <c r="AO36" i="1"/>
  <c r="AP33" i="1"/>
  <c r="AO33" i="1"/>
  <c r="AR32" i="1"/>
  <c r="AP32" i="1"/>
  <c r="AO32" i="1"/>
  <c r="AV32" i="1"/>
  <c r="AP29" i="1"/>
  <c r="AO28" i="1"/>
  <c r="AP25" i="1"/>
  <c r="AO25" i="1"/>
  <c r="AR24" i="1"/>
  <c r="AP24" i="1"/>
  <c r="AO24" i="1"/>
  <c r="AU25" i="1"/>
  <c r="AR29" i="1"/>
  <c r="AP21" i="1"/>
  <c r="AO20" i="1"/>
  <c r="AP17" i="1"/>
  <c r="AO17" i="1"/>
  <c r="AR16" i="1"/>
  <c r="AP16" i="1"/>
  <c r="AO16" i="1"/>
  <c r="AV16" i="1"/>
  <c r="AV12" i="1"/>
  <c r="AX12" i="1"/>
  <c r="AU12" i="1"/>
  <c r="AW12" i="1"/>
  <c r="AV11" i="1"/>
  <c r="AX11" i="1"/>
  <c r="AU11" i="1"/>
  <c r="AW11" i="1"/>
  <c r="AQ4" i="1"/>
  <c r="AT4" i="1"/>
  <c r="AS4" i="1"/>
  <c r="AX4" i="1"/>
  <c r="AQ1" i="1"/>
  <c r="AY1" i="1"/>
  <c r="AT1" i="1"/>
  <c r="AP1" i="1"/>
  <c r="AX1" i="1"/>
  <c r="AH61" i="1"/>
  <c r="AG61" i="1"/>
  <c r="AH60" i="1"/>
  <c r="AG60" i="1"/>
  <c r="AH57" i="1"/>
  <c r="AJ57" i="1"/>
  <c r="AG57" i="1"/>
  <c r="AI57" i="1"/>
  <c r="AH56" i="1"/>
  <c r="AJ56" i="1"/>
  <c r="AG56" i="1"/>
  <c r="AI56" i="1"/>
  <c r="AH48" i="1"/>
  <c r="AG49" i="1"/>
  <c r="AE53" i="1"/>
  <c r="AD53" i="1"/>
  <c r="AE52" i="1"/>
  <c r="AD52" i="1"/>
  <c r="AG53" i="1"/>
  <c r="AH31" i="1"/>
  <c r="AH30" i="1"/>
  <c r="AG31" i="1"/>
  <c r="AG30" i="1"/>
  <c r="AH49" i="1"/>
  <c r="AG48" i="1"/>
  <c r="AH44" i="1"/>
  <c r="AG44" i="1"/>
  <c r="AH43" i="1"/>
  <c r="AG43" i="1"/>
  <c r="AH40" i="1"/>
  <c r="AJ40" i="1"/>
  <c r="AG40" i="1"/>
  <c r="AI40" i="1"/>
  <c r="AH39" i="1"/>
  <c r="AJ39" i="1"/>
  <c r="AG39" i="1"/>
  <c r="AI39" i="1"/>
  <c r="AE36" i="1"/>
  <c r="AD36" i="1"/>
  <c r="AH35" i="1"/>
  <c r="AE35" i="1"/>
  <c r="AD35" i="1"/>
  <c r="AD26" i="1"/>
  <c r="AH26" i="1"/>
  <c r="AE22" i="1"/>
  <c r="AD22" i="1"/>
  <c r="AE21" i="1"/>
  <c r="AD21" i="1"/>
  <c r="AH17" i="1"/>
  <c r="AG17" i="1"/>
  <c r="AH16" i="1"/>
  <c r="AG16" i="1"/>
  <c r="AD1" i="1"/>
  <c r="AH6" i="1"/>
  <c r="AG6" i="1"/>
  <c r="AI6" i="1"/>
  <c r="AH5" i="1"/>
  <c r="AG5" i="1"/>
  <c r="AI5" i="1"/>
  <c r="Z2" i="1"/>
  <c r="Z1" i="1"/>
  <c r="B6" i="1"/>
  <c r="A5" i="1"/>
  <c r="E6" i="1"/>
  <c r="V20" i="1"/>
  <c r="X20" i="1"/>
  <c r="U20" i="1"/>
  <c r="W20" i="1"/>
  <c r="V19" i="1"/>
  <c r="X19" i="1"/>
  <c r="U19" i="1"/>
  <c r="W19" i="1"/>
  <c r="V6" i="1"/>
  <c r="X6" i="1"/>
  <c r="U6" i="1"/>
  <c r="W6" i="1"/>
  <c r="V5" i="1"/>
  <c r="X5" i="1"/>
  <c r="U5" i="1"/>
  <c r="W5" i="1"/>
  <c r="V17" i="1"/>
  <c r="X17" i="1"/>
  <c r="U17" i="1"/>
  <c r="W17" i="1"/>
  <c r="V16" i="1"/>
  <c r="X16" i="1"/>
  <c r="U16" i="1"/>
  <c r="W16" i="1"/>
  <c r="S13" i="1"/>
  <c r="R13" i="1"/>
  <c r="U12" i="1"/>
  <c r="S12" i="1"/>
  <c r="R12" i="1"/>
  <c r="V36" i="1"/>
  <c r="X36" i="1"/>
  <c r="U36" i="1"/>
  <c r="W36" i="1"/>
  <c r="V35" i="1"/>
  <c r="X35" i="1"/>
  <c r="U35" i="1"/>
  <c r="W35" i="1"/>
  <c r="V28" i="1"/>
  <c r="X28" i="1"/>
  <c r="U28" i="1"/>
  <c r="W28" i="1"/>
  <c r="V27" i="1"/>
  <c r="X27" i="1"/>
  <c r="U27" i="1"/>
  <c r="W27" i="1"/>
  <c r="V3" i="1"/>
  <c r="X3" i="1"/>
  <c r="U3" i="1"/>
  <c r="W3" i="1"/>
  <c r="V2" i="1"/>
  <c r="X2" i="1"/>
  <c r="U2" i="1"/>
  <c r="W2" i="1"/>
  <c r="G32" i="1"/>
  <c r="F32" i="1"/>
  <c r="E32" i="1"/>
  <c r="E30" i="1"/>
  <c r="F30" i="1"/>
  <c r="G30" i="1"/>
  <c r="E31" i="1"/>
  <c r="F31" i="1"/>
  <c r="I30" i="1"/>
  <c r="G31" i="1"/>
  <c r="I31" i="1"/>
  <c r="G26" i="1"/>
  <c r="F26" i="1"/>
  <c r="E26" i="1"/>
  <c r="E24" i="1"/>
  <c r="F24" i="1"/>
  <c r="G24" i="1"/>
  <c r="I24" i="1"/>
  <c r="E25" i="1"/>
  <c r="I25" i="1"/>
  <c r="F25" i="1"/>
  <c r="G25" i="1"/>
  <c r="E19" i="1"/>
  <c r="F19" i="1"/>
  <c r="E18" i="1"/>
  <c r="F18" i="1"/>
  <c r="E17" i="1"/>
  <c r="I17" i="1"/>
  <c r="F17" i="1"/>
  <c r="K19" i="1"/>
  <c r="G19" i="1"/>
  <c r="G18" i="1"/>
  <c r="I19" i="1"/>
  <c r="G17" i="1"/>
  <c r="E10" i="1"/>
  <c r="G9" i="1"/>
  <c r="D10" i="1"/>
  <c r="D9" i="1"/>
  <c r="E9" i="1"/>
  <c r="G10" i="1"/>
  <c r="E3" i="1"/>
  <c r="D3" i="1"/>
  <c r="E2" i="1"/>
  <c r="H3" i="1"/>
  <c r="D2" i="1"/>
  <c r="V31" i="1"/>
  <c r="X31" i="1"/>
  <c r="V32" i="1"/>
  <c r="X32" i="1"/>
  <c r="U31" i="1"/>
  <c r="W31" i="1"/>
  <c r="U32" i="1"/>
  <c r="W32" i="1"/>
  <c r="AG13" i="1"/>
  <c r="AH13" i="1"/>
  <c r="AG12" i="1"/>
  <c r="AH12" i="1"/>
  <c r="AE26" i="1"/>
  <c r="AH27" i="1"/>
  <c r="AD27" i="1"/>
  <c r="AE27" i="1"/>
  <c r="AG26" i="1"/>
  <c r="V12" i="1"/>
  <c r="U13" i="1"/>
  <c r="AH36" i="1"/>
  <c r="AG27" i="1"/>
  <c r="J17" i="1"/>
  <c r="AG52" i="1"/>
  <c r="I32" i="1"/>
  <c r="AG36" i="1"/>
  <c r="AH53" i="1"/>
  <c r="AU55" i="1"/>
  <c r="AO58" i="1"/>
  <c r="AT42" i="1"/>
  <c r="AN45" i="1"/>
  <c r="AV33" i="1"/>
  <c r="AV25" i="1"/>
  <c r="AV24" i="1"/>
  <c r="AU32" i="1"/>
  <c r="AR36" i="1"/>
  <c r="AV28" i="1"/>
  <c r="AT58" i="1"/>
  <c r="G3" i="1"/>
  <c r="I18" i="1"/>
  <c r="AU49" i="1"/>
  <c r="AO52" i="1"/>
  <c r="D5" i="1"/>
  <c r="AV17" i="1"/>
  <c r="J18" i="1"/>
  <c r="G2" i="1"/>
  <c r="AH52" i="1"/>
  <c r="H2" i="1"/>
  <c r="AT48" i="1"/>
  <c r="AN51" i="1"/>
  <c r="AU33" i="1"/>
  <c r="AR37" i="1"/>
  <c r="AV36" i="1"/>
  <c r="AU24" i="1"/>
  <c r="AR28" i="1"/>
  <c r="AU29" i="1"/>
  <c r="AU41" i="1"/>
  <c r="AO44" i="1"/>
  <c r="V13" i="1"/>
  <c r="E5" i="1"/>
  <c r="AG35" i="1"/>
  <c r="D6" i="1"/>
  <c r="AU17" i="1"/>
  <c r="AR21" i="1"/>
  <c r="AV20" i="1"/>
  <c r="K17" i="1"/>
  <c r="AT41" i="1"/>
  <c r="AN44" i="1"/>
  <c r="I26" i="1"/>
  <c r="AU16" i="1"/>
  <c r="AR20" i="1"/>
  <c r="AU20" i="1"/>
  <c r="J19" i="1"/>
  <c r="K18" i="1"/>
  <c r="AT56" i="1"/>
  <c r="AN59" i="1"/>
  <c r="AT59" i="1"/>
  <c r="AU37" i="1"/>
  <c r="AU28" i="1"/>
  <c r="G6" i="1"/>
  <c r="G5" i="1"/>
  <c r="H5" i="1"/>
  <c r="H6" i="1"/>
  <c r="AU36" i="1"/>
  <c r="AU59" i="1"/>
  <c r="AT52" i="1"/>
  <c r="AU51" i="1"/>
  <c r="AU52" i="1"/>
  <c r="AT51" i="1"/>
  <c r="AU21" i="1"/>
  <c r="AU45" i="1"/>
  <c r="AU44" i="1"/>
  <c r="AT45" i="1"/>
  <c r="AT44" i="1"/>
  <c r="AU58" i="1"/>
  <c r="AV37" i="1"/>
  <c r="AV21" i="1"/>
  <c r="AV29" i="1"/>
  <c r="BI4" i="1"/>
  <c r="BJ4" i="1"/>
  <c r="AV4" i="1"/>
  <c r="AU4" i="1"/>
  <c r="AY4" i="1"/>
  <c r="AZ1" i="1"/>
  <c r="BF1" i="1"/>
  <c r="BA1" i="1"/>
  <c r="BJ1" i="1"/>
  <c r="AS1" i="1"/>
  <c r="BA4" i="1"/>
  <c r="AZ4" i="1"/>
  <c r="BF4" i="1"/>
  <c r="BE4" i="1"/>
  <c r="AU1" i="1"/>
  <c r="BI1" i="1"/>
  <c r="AV1" i="1"/>
  <c r="BG4" i="1"/>
  <c r="BH4" i="1"/>
  <c r="BK4" i="1"/>
  <c r="BB4" i="1"/>
  <c r="BE1" i="1"/>
  <c r="BB1" i="1"/>
  <c r="BL4" i="1"/>
  <c r="BH1" i="1"/>
  <c r="BL1" i="1"/>
  <c r="BG1" i="1"/>
  <c r="BK1" i="1"/>
</calcChain>
</file>

<file path=xl/sharedStrings.xml><?xml version="1.0" encoding="utf-8"?>
<sst xmlns="http://schemas.openxmlformats.org/spreadsheetml/2006/main" count="206" uniqueCount="92">
  <si>
    <t>inverse</t>
  </si>
  <si>
    <t>multiply column</t>
  </si>
  <si>
    <t>given</t>
  </si>
  <si>
    <t>column</t>
  </si>
  <si>
    <t>unity matrix</t>
  </si>
  <si>
    <t>m-M</t>
  </si>
  <si>
    <t>M-m</t>
  </si>
  <si>
    <t>2m</t>
  </si>
  <si>
    <t>2M</t>
  </si>
  <si>
    <t>m=4 M=2</t>
  </si>
  <si>
    <t>collision</t>
  </si>
  <si>
    <t>1/(4+2)</t>
  </si>
  <si>
    <t>zero-p-frame</t>
  </si>
  <si>
    <t>lab-frame</t>
  </si>
  <si>
    <t>multiply</t>
  </si>
  <si>
    <t>*6</t>
  </si>
  <si>
    <t>* 1/6</t>
  </si>
  <si>
    <t>reverse velocity</t>
  </si>
  <si>
    <t>(m+M)</t>
  </si>
  <si>
    <t>* 6</t>
  </si>
  <si>
    <t>m+M</t>
  </si>
  <si>
    <t>1/(m+M)</t>
  </si>
  <si>
    <t>time reversal</t>
  </si>
  <si>
    <t>collision-inverse</t>
  </si>
  <si>
    <t>collision inverse</t>
  </si>
  <si>
    <t>(-sin)</t>
  </si>
  <si>
    <t>(sin)</t>
  </si>
  <si>
    <t>(cos)</t>
  </si>
  <si>
    <t>velocity</t>
  </si>
  <si>
    <t>rotation clockwise</t>
  </si>
  <si>
    <t>lab-frame p/sqrt(2m)</t>
  </si>
  <si>
    <t>*(sqrt(2m))/m=velocity</t>
  </si>
  <si>
    <t>rotation</t>
  </si>
  <si>
    <t>rotation inverse</t>
  </si>
  <si>
    <t>rotation counterwise</t>
  </si>
  <si>
    <t>divided by 6</t>
  </si>
  <si>
    <t>m=10 M=2</t>
  </si>
  <si>
    <t>(10-2)/12</t>
  </si>
  <si>
    <t>(2-10)/12</t>
  </si>
  <si>
    <t>2*10/12</t>
  </si>
  <si>
    <t>2*2/12</t>
  </si>
  <si>
    <t>* 1/12</t>
  </si>
  <si>
    <t>m=7 M=3</t>
  </si>
  <si>
    <t>(7-3)/10</t>
  </si>
  <si>
    <t>(3-7)/10</t>
  </si>
  <si>
    <t>2*3/12</t>
  </si>
  <si>
    <t>2*7/12</t>
  </si>
  <si>
    <t>* 1/10</t>
  </si>
  <si>
    <t>0-2M</t>
  </si>
  <si>
    <t>0-2m</t>
  </si>
  <si>
    <t>det-A</t>
  </si>
  <si>
    <t>m</t>
  </si>
  <si>
    <t>M</t>
  </si>
  <si>
    <t>angle</t>
  </si>
  <si>
    <t>u1</t>
  </si>
  <si>
    <t>obs-x</t>
  </si>
  <si>
    <t>obs-y</t>
  </si>
  <si>
    <t>angle-new</t>
  </si>
  <si>
    <t>v2</t>
  </si>
  <si>
    <t>obs-speed</t>
  </si>
  <si>
    <t>u1-x</t>
  </si>
  <si>
    <t>u1-y</t>
  </si>
  <si>
    <t>u1-new</t>
  </si>
  <si>
    <t>u2-x</t>
  </si>
  <si>
    <t>u2-y</t>
  </si>
  <si>
    <t>u2-new</t>
  </si>
  <si>
    <t>tot-E</t>
  </si>
  <si>
    <t>p1/sqrt2m</t>
  </si>
  <si>
    <t>p2/sqrt(2m)</t>
  </si>
  <si>
    <t>px</t>
  </si>
  <si>
    <t>py</t>
  </si>
  <si>
    <t>e</t>
  </si>
  <si>
    <t>v1</t>
  </si>
  <si>
    <t>v1-x</t>
  </si>
  <si>
    <t>v1-y</t>
  </si>
  <si>
    <t>v2-x</t>
  </si>
  <si>
    <t>v2-y</t>
  </si>
  <si>
    <t>v2-new</t>
  </si>
  <si>
    <t>change bd1, bd4</t>
  </si>
  <si>
    <t>run solver for observer speed</t>
  </si>
  <si>
    <t>copy observer speed to ao4</t>
  </si>
  <si>
    <t>check bg1 for 578 joules</t>
  </si>
  <si>
    <t>run matrix in o2</t>
  </si>
  <si>
    <t>change o2 element, also *1/(4+new)</t>
  </si>
  <si>
    <t>copy new final speed onto ar4 and aw4</t>
  </si>
  <si>
    <t>check for p-conservation and e-value</t>
  </si>
  <si>
    <t>relative velocity</t>
  </si>
  <si>
    <t>ans</t>
  </si>
  <si>
    <t>one matrix relative velocity</t>
  </si>
  <si>
    <t>m4 M4.1</t>
  </si>
  <si>
    <t>1/(4+4.1)</t>
  </si>
  <si>
    <t>* 1/8.1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</si>
</sst>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16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"/>
  <sheetViews>
    <sheetView tabSelected="1" topLeftCell="AN1" workbookViewId="0">
      <selection activeCell="BB27" sqref="BB27"/>
    </sheetView>
  </sheetViews>
  <sheetFormatPr defaultRowHeight="12.75" x14ac:dyDescent="0.2"/>
  <cols>
    <col min="4" max="4" width="8.5703125" customWidth="1"/>
    <col min="5" max="5" width="12" bestFit="1" customWidth="1"/>
    <col min="6" max="6" width="13.140625" bestFit="1" customWidth="1"/>
    <col min="7" max="7" width="12" bestFit="1" customWidth="1"/>
    <col min="9" max="9" width="8.140625" customWidth="1"/>
    <col min="10" max="10" width="8" customWidth="1"/>
    <col min="11" max="11" width="7.7109375" customWidth="1"/>
    <col min="12" max="12" width="9.140625" hidden="1" customWidth="1"/>
  </cols>
  <sheetData>
    <row r="1" spans="1:64" x14ac:dyDescent="0.2">
      <c r="A1" t="s">
        <v>2</v>
      </c>
      <c r="D1" t="s">
        <v>0</v>
      </c>
      <c r="G1" t="s">
        <v>4</v>
      </c>
      <c r="K1" t="s">
        <v>5</v>
      </c>
      <c r="L1" t="s">
        <v>8</v>
      </c>
      <c r="M1" t="s">
        <v>8</v>
      </c>
      <c r="N1" s="1" t="s">
        <v>89</v>
      </c>
      <c r="O1" s="1" t="s">
        <v>10</v>
      </c>
      <c r="R1" s="1" t="s">
        <v>13</v>
      </c>
      <c r="U1" s="1" t="s">
        <v>14</v>
      </c>
      <c r="W1" s="1" t="s">
        <v>91</v>
      </c>
      <c r="Z1">
        <f>1/3</f>
        <v>0.33333333333333331</v>
      </c>
      <c r="AA1">
        <v>0.33333333333333331</v>
      </c>
      <c r="AB1">
        <v>0.94280904158206336</v>
      </c>
      <c r="AD1">
        <f>4*17/((2*4)^0.5)</f>
        <v>24.041630560342615</v>
      </c>
      <c r="AI1" s="1" t="s">
        <v>28</v>
      </c>
      <c r="AN1">
        <v>50</v>
      </c>
      <c r="AO1">
        <v>10.92736278754071</v>
      </c>
      <c r="AP1">
        <f>AO1*COS(AN1*3.1416/180)</f>
        <v>7.0239563242371066</v>
      </c>
      <c r="AQ1">
        <f>-AO1*SIN(AN1*3.1416/180)</f>
        <v>-8.3708598749315488</v>
      </c>
      <c r="AR1">
        <v>17</v>
      </c>
      <c r="AS1">
        <f>AR1-AP1</f>
        <v>9.9760436757628934</v>
      </c>
      <c r="AT1">
        <f>-AQ1</f>
        <v>8.3708598749315488</v>
      </c>
      <c r="AU1">
        <f>(AS1^2+AT1^2)^0.5</f>
        <v>13.022777832185721</v>
      </c>
      <c r="AV1">
        <f>(ATAN(AT1/AS1))*180/3.1416</f>
        <v>39.999789532685426</v>
      </c>
      <c r="AW1">
        <v>0</v>
      </c>
      <c r="AX1">
        <f>AW1-AP1</f>
        <v>-7.0239563242371066</v>
      </c>
      <c r="AY1">
        <f>-AQ1</f>
        <v>8.3708598749315488</v>
      </c>
      <c r="AZ1">
        <f>(AX1^2+AY1^2)^0.5</f>
        <v>10.92736278754071</v>
      </c>
      <c r="BA1">
        <f>(ATAN(AY1/AX1))*180/3.1416</f>
        <v>-49.999999999999993</v>
      </c>
      <c r="BB1">
        <f>0.5*BC1*AU1*AU1+0.5*BD1*AZ1*AZ1</f>
        <v>577.99999991399466</v>
      </c>
      <c r="BC1">
        <v>4</v>
      </c>
      <c r="BD1">
        <v>4</v>
      </c>
      <c r="BE1">
        <f>BC1*AU1/((2*BC1)^0.5)</f>
        <v>18.41698903004874</v>
      </c>
      <c r="BF1">
        <f>BD1*AZ1/((2*BD1)^0.5)</f>
        <v>15.453624655111142</v>
      </c>
      <c r="BG1">
        <f>BE1^2+BF1^2</f>
        <v>577.99999991399454</v>
      </c>
      <c r="BH1">
        <f>(ATAN(BF1/BE1))*180/3.1416</f>
        <v>39.999789536262277</v>
      </c>
      <c r="BI1">
        <f>AS1*BC1+AX1*BD1</f>
        <v>11.808349406103147</v>
      </c>
      <c r="BJ1">
        <f>AT1*BC1+AY1*BD1</f>
        <v>66.966878999452391</v>
      </c>
      <c r="BK1">
        <f>BE1*SIN(BH1*3.1416/180)</f>
        <v>11.838183564733695</v>
      </c>
      <c r="BL1">
        <f>BF1*COS(BH1*3.1416/180)</f>
        <v>11.838183564733697</v>
      </c>
    </row>
    <row r="2" spans="1:64" x14ac:dyDescent="0.2">
      <c r="A2">
        <v>1</v>
      </c>
      <c r="B2">
        <v>2</v>
      </c>
      <c r="D2">
        <f>INDEX(MINVERSE(A2:B3),1,1)</f>
        <v>-3</v>
      </c>
      <c r="E2">
        <f>INDEX(MINVERSE(A2:B3),1,2)</f>
        <v>2</v>
      </c>
      <c r="G2">
        <f>INDEX(MMULT(A2:B3,D2:E3),1,1)</f>
        <v>1</v>
      </c>
      <c r="H2">
        <f>INDEX(MMULT(A2:B3,D2:E3),1,2)</f>
        <v>0</v>
      </c>
      <c r="K2" t="s">
        <v>7</v>
      </c>
      <c r="L2" t="s">
        <v>6</v>
      </c>
      <c r="M2" t="s">
        <v>6</v>
      </c>
      <c r="N2" s="2" t="s">
        <v>90</v>
      </c>
      <c r="O2">
        <v>-0.1</v>
      </c>
      <c r="P2">
        <v>8.1999999999999993</v>
      </c>
      <c r="R2">
        <v>17</v>
      </c>
      <c r="S2">
        <v>0</v>
      </c>
      <c r="U2">
        <f>INDEX(MMULT(O2:P3,R2:S3),1,1)</f>
        <v>-1.7000000000000002</v>
      </c>
      <c r="V2">
        <f>INDEX(MMULT(O2:P3,R2:S3),1,2)</f>
        <v>0</v>
      </c>
      <c r="W2">
        <f>U2/8.1</f>
        <v>-0.20987654320987659</v>
      </c>
      <c r="X2">
        <f>V2/6</f>
        <v>0</v>
      </c>
      <c r="Z2">
        <f>(1-1/9)^0.5</f>
        <v>0.94280904158206336</v>
      </c>
      <c r="AA2">
        <v>0.94280904158206336</v>
      </c>
      <c r="AB2">
        <v>0.33333333333333331</v>
      </c>
      <c r="AN2" s="1" t="s">
        <v>53</v>
      </c>
      <c r="AO2" s="1" t="s">
        <v>59</v>
      </c>
      <c r="AP2" t="s">
        <v>55</v>
      </c>
      <c r="AQ2" t="s">
        <v>56</v>
      </c>
      <c r="AR2" s="1" t="s">
        <v>54</v>
      </c>
      <c r="AS2" s="1" t="s">
        <v>60</v>
      </c>
      <c r="AT2" s="1" t="s">
        <v>61</v>
      </c>
      <c r="AU2" s="1" t="s">
        <v>62</v>
      </c>
      <c r="AV2" t="s">
        <v>57</v>
      </c>
      <c r="AW2" t="s">
        <v>58</v>
      </c>
      <c r="AX2" s="1" t="s">
        <v>63</v>
      </c>
      <c r="AY2" s="1" t="s">
        <v>64</v>
      </c>
      <c r="AZ2" s="1" t="s">
        <v>65</v>
      </c>
      <c r="BA2" t="s">
        <v>57</v>
      </c>
      <c r="BB2" s="1" t="s">
        <v>66</v>
      </c>
      <c r="BC2" s="1" t="s">
        <v>51</v>
      </c>
      <c r="BD2" s="1" t="s">
        <v>52</v>
      </c>
      <c r="BE2" s="1" t="s">
        <v>67</v>
      </c>
      <c r="BF2" s="1" t="s">
        <v>68</v>
      </c>
      <c r="BG2" s="1" t="s">
        <v>66</v>
      </c>
      <c r="BH2" s="1" t="s">
        <v>53</v>
      </c>
      <c r="BI2" s="1" t="s">
        <v>69</v>
      </c>
      <c r="BJ2" s="1" t="s">
        <v>70</v>
      </c>
      <c r="BK2" s="1" t="s">
        <v>71</v>
      </c>
      <c r="BL2" s="1" t="s">
        <v>71</v>
      </c>
    </row>
    <row r="3" spans="1:64" x14ac:dyDescent="0.2">
      <c r="A3">
        <v>2</v>
      </c>
      <c r="B3">
        <v>3</v>
      </c>
      <c r="D3">
        <f>INDEX(MINVERSE(A2:B3),2,1)</f>
        <v>2</v>
      </c>
      <c r="E3">
        <f>INDEX(MINVERSE(A2:B3),2,2)</f>
        <v>-1</v>
      </c>
      <c r="G3">
        <f>INDEX(MMULT(A2:B3,D2:E3),2,1)</f>
        <v>0</v>
      </c>
      <c r="H3">
        <f>INDEX(MMULT(A2:B3,D2:E3),2,2)</f>
        <v>1</v>
      </c>
      <c r="O3">
        <v>8</v>
      </c>
      <c r="P3">
        <v>0.1</v>
      </c>
      <c r="R3">
        <v>0</v>
      </c>
      <c r="S3">
        <v>0</v>
      </c>
      <c r="U3">
        <f>INDEX(MMULT(O2:P3,R2:S3),2,1)</f>
        <v>136</v>
      </c>
      <c r="V3">
        <f>INDEX(MMULT(O2:P3,R2:S3),2,2)</f>
        <v>0</v>
      </c>
      <c r="W3">
        <f>U3/8.1</f>
        <v>16.790123456790123</v>
      </c>
      <c r="X3">
        <f>V3/6</f>
        <v>0</v>
      </c>
    </row>
    <row r="4" spans="1:64" x14ac:dyDescent="0.2">
      <c r="O4" s="1" t="s">
        <v>22</v>
      </c>
      <c r="R4" s="1" t="s">
        <v>13</v>
      </c>
      <c r="AA4" s="1" t="s">
        <v>29</v>
      </c>
      <c r="AD4" s="1" t="s">
        <v>30</v>
      </c>
      <c r="AG4" s="1" t="s">
        <v>14</v>
      </c>
      <c r="AI4" s="1" t="s">
        <v>31</v>
      </c>
      <c r="AN4">
        <v>50</v>
      </c>
      <c r="AO4">
        <v>10.92736278754071</v>
      </c>
      <c r="AP4">
        <v>7.0239563242371066</v>
      </c>
      <c r="AQ4">
        <f>-AO4*SIN(AN4*3.1416/180)</f>
        <v>-8.3708598749315488</v>
      </c>
      <c r="AR4">
        <v>0</v>
      </c>
      <c r="AS4">
        <f>AR4-AP4</f>
        <v>-7.0239563242371066</v>
      </c>
      <c r="AT4">
        <f>-AQ4</f>
        <v>8.3708598749315488</v>
      </c>
      <c r="AU4">
        <f>(AS4^2+AT4^2)^0.5</f>
        <v>10.92736278754071</v>
      </c>
      <c r="AV4">
        <f>(ATAN(AT4/AS4))*180/3.1416</f>
        <v>-49.999999999999993</v>
      </c>
      <c r="AW4">
        <v>17</v>
      </c>
      <c r="AX4">
        <f>AW4-AP4</f>
        <v>9.9760436757628934</v>
      </c>
      <c r="AY4">
        <f>-AQ4</f>
        <v>8.3708598749315488</v>
      </c>
      <c r="AZ4">
        <f>(AX4^2+AY4^2)^0.5</f>
        <v>13.022777832185721</v>
      </c>
      <c r="BA4">
        <f>(ATAN(AY4/AX4))*180/3.1416</f>
        <v>39.999789532685426</v>
      </c>
      <c r="BB4">
        <f>0.5*BC4*AU4*AU4+0.5*BD4*AZ4*AZ4</f>
        <v>577.99999991399466</v>
      </c>
      <c r="BC4">
        <v>4</v>
      </c>
      <c r="BD4">
        <v>4</v>
      </c>
      <c r="BE4">
        <f>BC4*AU4/((2*BC4)^0.5)</f>
        <v>15.453624655111142</v>
      </c>
      <c r="BF4">
        <f>BD4*AZ4/((2*BD4)^0.5)</f>
        <v>18.41698903004874</v>
      </c>
      <c r="BG4">
        <f>BE4^2+BF4^2</f>
        <v>577.99999991399454</v>
      </c>
      <c r="BH4">
        <f>(ATAN(BF4/BE4))*180/3.1416</f>
        <v>50.000000005080153</v>
      </c>
      <c r="BI4">
        <f>AS4*BC4+AX4*BD4</f>
        <v>11.808349406103147</v>
      </c>
      <c r="BJ4">
        <f>AT4*BC4+AY4*BD4</f>
        <v>66.966878999452391</v>
      </c>
      <c r="BK4">
        <f>BE4*SIN(BH4*3.1416/180)</f>
        <v>11.838183564733695</v>
      </c>
      <c r="BL4">
        <f>BF4*COS(BH4*3.1416/180)</f>
        <v>11.838183564733697</v>
      </c>
    </row>
    <row r="5" spans="1:64" x14ac:dyDescent="0.2">
      <c r="A5">
        <f>3^0.5/2</f>
        <v>0.8660254037844386</v>
      </c>
      <c r="B5">
        <v>-0.5</v>
      </c>
      <c r="D5">
        <f>INDEX(MINVERSE(A5:B6),1,1)</f>
        <v>0.86602540378443871</v>
      </c>
      <c r="E5">
        <f>INDEX(MINVERSE(A5:B6),1,2)</f>
        <v>0.50000000000000011</v>
      </c>
      <c r="G5">
        <f>INDEX(MMULT(A5:B6,D5:E6),1,1)</f>
        <v>1</v>
      </c>
      <c r="H5">
        <f>INDEX(MMULT(A5:B6,D5:E6),1,2)</f>
        <v>5.5511151231257827E-17</v>
      </c>
      <c r="I5" s="1" t="s">
        <v>27</v>
      </c>
      <c r="J5" s="1" t="s">
        <v>25</v>
      </c>
      <c r="N5" s="2" t="s">
        <v>11</v>
      </c>
      <c r="O5">
        <v>2</v>
      </c>
      <c r="P5">
        <v>4</v>
      </c>
      <c r="R5">
        <v>-5.6666666666666696</v>
      </c>
      <c r="S5">
        <v>0</v>
      </c>
      <c r="U5">
        <f>INDEX(MMULT(O5:P6,R5:S6),1,1)</f>
        <v>-102.00000000000014</v>
      </c>
      <c r="V5">
        <f>INDEX(MMULT(O5:P6,R5:S6),1,2)</f>
        <v>0</v>
      </c>
      <c r="W5">
        <f>U5/6</f>
        <v>-17.000000000000025</v>
      </c>
      <c r="X5">
        <f>V5/6</f>
        <v>0</v>
      </c>
      <c r="AA5">
        <v>0.33333333333333331</v>
      </c>
      <c r="AB5">
        <v>-0.94280904158206302</v>
      </c>
      <c r="AD5">
        <v>24.041630560342615</v>
      </c>
      <c r="AE5">
        <v>0</v>
      </c>
      <c r="AG5">
        <f>INDEX(MMULT(AA5:AB6,AD5:AE6),1,1)</f>
        <v>8.0138768534475382</v>
      </c>
      <c r="AH5">
        <f>INDEX(MMULT(AA5:AB6,AD5:AE6),1,2)</f>
        <v>0</v>
      </c>
      <c r="AI5">
        <f>AG5*((2*4)^0.5)/4</f>
        <v>5.666666666666667</v>
      </c>
      <c r="AJ5">
        <v>0</v>
      </c>
      <c r="AN5" s="1" t="s">
        <v>53</v>
      </c>
      <c r="AO5" s="1" t="s">
        <v>59</v>
      </c>
      <c r="AP5" t="s">
        <v>55</v>
      </c>
      <c r="AQ5" t="s">
        <v>56</v>
      </c>
      <c r="AR5" s="1" t="s">
        <v>72</v>
      </c>
      <c r="AS5" s="1" t="s">
        <v>73</v>
      </c>
      <c r="AT5" s="1" t="s">
        <v>74</v>
      </c>
      <c r="AU5" s="1" t="s">
        <v>62</v>
      </c>
      <c r="AV5" t="s">
        <v>57</v>
      </c>
      <c r="AW5" t="s">
        <v>58</v>
      </c>
      <c r="AX5" s="1" t="s">
        <v>75</v>
      </c>
      <c r="AY5" s="1" t="s">
        <v>76</v>
      </c>
      <c r="AZ5" s="1" t="s">
        <v>77</v>
      </c>
      <c r="BA5" t="s">
        <v>57</v>
      </c>
      <c r="BB5" s="1" t="s">
        <v>66</v>
      </c>
      <c r="BC5" s="1" t="s">
        <v>51</v>
      </c>
      <c r="BD5" s="1" t="s">
        <v>52</v>
      </c>
      <c r="BE5" s="1" t="s">
        <v>67</v>
      </c>
      <c r="BF5" s="1" t="s">
        <v>68</v>
      </c>
      <c r="BG5" s="1" t="s">
        <v>66</v>
      </c>
      <c r="BH5" s="1" t="s">
        <v>53</v>
      </c>
      <c r="BI5" s="1" t="s">
        <v>69</v>
      </c>
      <c r="BJ5" s="1" t="s">
        <v>70</v>
      </c>
      <c r="BK5" s="1" t="s">
        <v>71</v>
      </c>
      <c r="BL5" s="1" t="s">
        <v>71</v>
      </c>
    </row>
    <row r="6" spans="1:64" x14ac:dyDescent="0.2">
      <c r="A6">
        <v>0.5</v>
      </c>
      <c r="B6">
        <f>3^0.5/2</f>
        <v>0.8660254037844386</v>
      </c>
      <c r="D6">
        <f>INDEX(MINVERSE(A5:B6),2,1)</f>
        <v>-0.50000000000000011</v>
      </c>
      <c r="E6">
        <f>INDEX(MINVERSE(A5:B6),2,2)</f>
        <v>0.86602540378443871</v>
      </c>
      <c r="G6">
        <f>INDEX(MMULT(A5:B6,D5:E6),2,1)</f>
        <v>-5.5511151231257827E-17</v>
      </c>
      <c r="H6">
        <f>INDEX(MMULT(A5:B6,D5:E6),2,2)</f>
        <v>1</v>
      </c>
      <c r="I6" s="1" t="s">
        <v>26</v>
      </c>
      <c r="J6" s="1" t="s">
        <v>27</v>
      </c>
      <c r="O6">
        <v>8</v>
      </c>
      <c r="P6">
        <v>-2</v>
      </c>
      <c r="R6">
        <v>-22.6666666666667</v>
      </c>
      <c r="S6">
        <v>0</v>
      </c>
      <c r="U6">
        <f>INDEX(MMULT(O5:P6,R5:S6),2,1)</f>
        <v>4.2632564145606011E-14</v>
      </c>
      <c r="V6">
        <f>INDEX(MMULT(O5:P6,R5:S6),2,2)</f>
        <v>0</v>
      </c>
      <c r="W6">
        <f>U6/6</f>
        <v>7.1054273576010019E-15</v>
      </c>
      <c r="X6">
        <f>V6/6</f>
        <v>0</v>
      </c>
      <c r="AA6">
        <v>0.94280904158206336</v>
      </c>
      <c r="AB6">
        <v>0.33333333333333331</v>
      </c>
      <c r="AD6">
        <v>0</v>
      </c>
      <c r="AE6">
        <v>0</v>
      </c>
      <c r="AG6">
        <f>INDEX(MMULT(AA5:AB6,AD5:AE6),2,1)</f>
        <v>22.666666666666664</v>
      </c>
      <c r="AH6">
        <f>INDEX(MMULT(AA5:AB6,AD5:AE6),2,2)</f>
        <v>0</v>
      </c>
      <c r="AI6">
        <f>AG6*((2*2)^0.5)/2</f>
        <v>22.666666666666664</v>
      </c>
      <c r="AJ6">
        <v>0</v>
      </c>
    </row>
    <row r="8" spans="1:64" x14ac:dyDescent="0.2">
      <c r="N8" s="1" t="s">
        <v>21</v>
      </c>
      <c r="O8" s="1" t="s">
        <v>5</v>
      </c>
      <c r="P8" s="1" t="s">
        <v>8</v>
      </c>
      <c r="BD8" s="1" t="s">
        <v>78</v>
      </c>
    </row>
    <row r="9" spans="1:64" x14ac:dyDescent="0.2">
      <c r="A9">
        <v>4</v>
      </c>
      <c r="B9">
        <v>3</v>
      </c>
      <c r="D9">
        <f>INDEX(MINVERSE(A9:B10),1,1)</f>
        <v>0.18181818181818182</v>
      </c>
      <c r="E9">
        <f>INDEX(MINVERSE(A9:B10),1,2)</f>
        <v>-0.27272727272727271</v>
      </c>
      <c r="F9">
        <v>-5</v>
      </c>
      <c r="G9">
        <f>INDEX(MMULT(D9:E10,F9:F10),1,1)</f>
        <v>0.99999999999999978</v>
      </c>
      <c r="O9" s="1" t="s">
        <v>7</v>
      </c>
      <c r="P9" s="1" t="s">
        <v>6</v>
      </c>
      <c r="BD9" s="1" t="s">
        <v>79</v>
      </c>
    </row>
    <row r="10" spans="1:64" x14ac:dyDescent="0.2">
      <c r="A10">
        <v>-1</v>
      </c>
      <c r="B10">
        <v>2</v>
      </c>
      <c r="D10">
        <f>INDEX(MINVERSE(A9:B10),2,1)</f>
        <v>9.0909090909090912E-2</v>
      </c>
      <c r="E10">
        <f>INDEX(MINVERSE(A9:B10),2,2)</f>
        <v>0.36363636363636365</v>
      </c>
      <c r="F10">
        <v>-7</v>
      </c>
      <c r="G10">
        <f>INDEX(MMULT(D9:E10,F9:F10),2,1)</f>
        <v>-3</v>
      </c>
      <c r="AN10" s="1" t="s">
        <v>9</v>
      </c>
      <c r="AO10" s="1" t="s">
        <v>10</v>
      </c>
      <c r="AR10" s="1" t="s">
        <v>13</v>
      </c>
      <c r="AU10" s="1" t="s">
        <v>14</v>
      </c>
      <c r="AW10" s="1" t="s">
        <v>16</v>
      </c>
      <c r="BD10" s="1" t="s">
        <v>80</v>
      </c>
    </row>
    <row r="11" spans="1:64" x14ac:dyDescent="0.2">
      <c r="A11" t="s">
        <v>2</v>
      </c>
      <c r="D11" t="s">
        <v>0</v>
      </c>
      <c r="F11" t="s">
        <v>3</v>
      </c>
      <c r="G11" t="s">
        <v>1</v>
      </c>
      <c r="O11" s="1" t="s">
        <v>10</v>
      </c>
      <c r="R11" s="1" t="s">
        <v>24</v>
      </c>
      <c r="U11" s="1" t="s">
        <v>14</v>
      </c>
      <c r="AA11" s="1" t="s">
        <v>32</v>
      </c>
      <c r="AD11" s="1" t="s">
        <v>33</v>
      </c>
      <c r="AG11" s="1" t="s">
        <v>14</v>
      </c>
      <c r="AN11" s="2" t="s">
        <v>11</v>
      </c>
      <c r="AO11">
        <v>2</v>
      </c>
      <c r="AP11">
        <v>4</v>
      </c>
      <c r="AR11">
        <v>7.6347248999411175</v>
      </c>
      <c r="AS11">
        <v>11.161146501191153</v>
      </c>
      <c r="AU11">
        <f>INDEX(MMULT(AO11:AP12,AR11:AS12),1,1)</f>
        <v>-22.191650600353295</v>
      </c>
      <c r="AV11">
        <f>INDEX(MMULT(AO11:AP12,AR11:AS12),1,2)</f>
        <v>66.966879007146915</v>
      </c>
      <c r="AW11">
        <f>AU11/6</f>
        <v>-3.698608433392216</v>
      </c>
      <c r="AX11">
        <f>AV11/6</f>
        <v>11.161146501191153</v>
      </c>
      <c r="BD11" s="1" t="s">
        <v>81</v>
      </c>
    </row>
    <row r="12" spans="1:64" x14ac:dyDescent="0.2">
      <c r="O12">
        <v>2</v>
      </c>
      <c r="P12">
        <v>4</v>
      </c>
      <c r="R12">
        <f>INDEX(MINVERSE(O12:P13),1,1)</f>
        <v>5.5555555555555552E-2</v>
      </c>
      <c r="S12">
        <f>INDEX(MINVERSE(O12:P13),1,2)</f>
        <v>0.1111111111111111</v>
      </c>
      <c r="U12">
        <f>INDEX(MMULT(O12:P13,R12:S13),1,1)</f>
        <v>1</v>
      </c>
      <c r="V12">
        <f>INDEX(MMULT(O12:P13,R12:S13),1,2)</f>
        <v>0</v>
      </c>
      <c r="AA12">
        <v>0.33333333333333331</v>
      </c>
      <c r="AB12">
        <v>-0.94280904158206302</v>
      </c>
      <c r="AD12">
        <v>0.33333333333333331</v>
      </c>
      <c r="AE12">
        <v>0.94280904158206336</v>
      </c>
      <c r="AG12">
        <f>INDEX(MMULT(AA12:AB13,AD12:AE13),1,1)</f>
        <v>0.99999999999999933</v>
      </c>
      <c r="AH12">
        <f>INDEX(MMULT(AA12:AB13,AD12:AE13),1,2)</f>
        <v>1.1102230246251565E-16</v>
      </c>
      <c r="AO12">
        <v>8</v>
      </c>
      <c r="AP12">
        <v>-2</v>
      </c>
      <c r="AR12">
        <v>-9.3652751000588825</v>
      </c>
      <c r="AS12">
        <v>11.161146501191153</v>
      </c>
      <c r="AU12">
        <f>INDEX(MMULT(AO11:AP12,AR11:AS12),2,1)</f>
        <v>79.808349399646701</v>
      </c>
      <c r="AV12">
        <f>INDEX(MMULT(AO11:AP12,AR11:AS12),2,2)</f>
        <v>66.966879007146915</v>
      </c>
      <c r="AW12">
        <f>AU12/6</f>
        <v>13.301391566607784</v>
      </c>
      <c r="AX12">
        <f>AV12/6</f>
        <v>11.161146501191153</v>
      </c>
      <c r="BD12" s="1" t="s">
        <v>82</v>
      </c>
    </row>
    <row r="13" spans="1:64" x14ac:dyDescent="0.2">
      <c r="O13">
        <v>8</v>
      </c>
      <c r="P13">
        <v>-2</v>
      </c>
      <c r="R13">
        <f>INDEX(MINVERSE(O12:P13),2,1)</f>
        <v>0.22222222222222221</v>
      </c>
      <c r="S13">
        <f>INDEX(MINVERSE(O12:P13),2,2)</f>
        <v>-5.5555555555555552E-2</v>
      </c>
      <c r="U13">
        <f>INDEX(MMULT(O12:P13,R12:S13),2,1)</f>
        <v>0</v>
      </c>
      <c r="V13">
        <f>INDEX(MMULT(O12:P13,R12:S13),2,2)</f>
        <v>1</v>
      </c>
      <c r="AA13">
        <v>0.94280904158206336</v>
      </c>
      <c r="AB13">
        <v>0.33333333333333331</v>
      </c>
      <c r="AD13">
        <v>-0.94280904158206302</v>
      </c>
      <c r="AE13">
        <v>0.33333333333333331</v>
      </c>
      <c r="AG13">
        <f>INDEX(MMULT(AA12:AB13,AD12:AE13),2,1)</f>
        <v>1.1102230246251565E-16</v>
      </c>
      <c r="AH13">
        <f>INDEX(MMULT(AA12:AB13,AD12:AE13),2,2)</f>
        <v>1</v>
      </c>
      <c r="BD13" s="1" t="s">
        <v>83</v>
      </c>
    </row>
    <row r="14" spans="1:64" x14ac:dyDescent="0.2">
      <c r="BD14" s="1" t="s">
        <v>84</v>
      </c>
    </row>
    <row r="15" spans="1:64" x14ac:dyDescent="0.2">
      <c r="O15" s="1" t="s">
        <v>23</v>
      </c>
      <c r="R15" s="1" t="s">
        <v>13</v>
      </c>
      <c r="U15" s="1" t="s">
        <v>14</v>
      </c>
      <c r="W15" s="1" t="s">
        <v>19</v>
      </c>
      <c r="AA15" s="1" t="s">
        <v>34</v>
      </c>
      <c r="AD15" s="1" t="s">
        <v>33</v>
      </c>
      <c r="AG15" s="1" t="s">
        <v>14</v>
      </c>
      <c r="AI15" s="1"/>
      <c r="AN15" s="1"/>
      <c r="AO15" s="1" t="s">
        <v>86</v>
      </c>
      <c r="AR15" s="1"/>
      <c r="AU15" s="1" t="s">
        <v>14</v>
      </c>
      <c r="BD15" s="1" t="s">
        <v>85</v>
      </c>
    </row>
    <row r="16" spans="1:64" x14ac:dyDescent="0.2">
      <c r="A16" t="s">
        <v>2</v>
      </c>
      <c r="E16" t="s">
        <v>0</v>
      </c>
      <c r="I16" t="s">
        <v>4</v>
      </c>
      <c r="N16" s="1" t="s">
        <v>18</v>
      </c>
      <c r="O16">
        <v>5.5555555555555552E-2</v>
      </c>
      <c r="P16">
        <v>0.1111111111111111</v>
      </c>
      <c r="R16">
        <v>17</v>
      </c>
      <c r="S16">
        <v>0</v>
      </c>
      <c r="U16">
        <f>INDEX(MMULT(O16:P17,R16:S17),1,1)</f>
        <v>0.94444444444444442</v>
      </c>
      <c r="V16">
        <f>INDEX(MMULT(O16:P17,R16:S17),1,2)</f>
        <v>0</v>
      </c>
      <c r="W16">
        <f>U16*6</f>
        <v>5.6666666666666661</v>
      </c>
      <c r="X16">
        <f>V16*6</f>
        <v>0</v>
      </c>
      <c r="AA16">
        <v>0.33333333333333331</v>
      </c>
      <c r="AB16">
        <v>0.94280904158206336</v>
      </c>
      <c r="AD16">
        <v>0</v>
      </c>
      <c r="AE16">
        <v>0</v>
      </c>
      <c r="AG16">
        <f>INDEX(MMULT(AA16:AB17,AD16:AE17),1,1)</f>
        <v>22.666666666666664</v>
      </c>
      <c r="AH16">
        <f>INDEX(MMULT(AA16:AB17,AD16:AE17),1,2)</f>
        <v>0</v>
      </c>
      <c r="AJ16">
        <v>0</v>
      </c>
      <c r="AN16">
        <v>50</v>
      </c>
      <c r="AO16">
        <f>COS(AN16*3.1416/180)</f>
        <v>0.64278604644166881</v>
      </c>
      <c r="AP16">
        <f>SIN(AN16*3.1416/180)</f>
        <v>0.76604575483445425</v>
      </c>
      <c r="AR16">
        <f>AN20</f>
        <v>12.48841460942173</v>
      </c>
      <c r="AS16">
        <v>0</v>
      </c>
      <c r="AU16">
        <f>INDEX(MMULT(AO16:AP17,AR16:AS17),1,1)</f>
        <v>8.027378653114571</v>
      </c>
      <c r="AV16">
        <f>INDEX(MMULT(AO16:AP17,AR16:AS17),1,2)</f>
        <v>0</v>
      </c>
    </row>
    <row r="17" spans="1:56" x14ac:dyDescent="0.2">
      <c r="A17">
        <v>1</v>
      </c>
      <c r="B17">
        <v>2</v>
      </c>
      <c r="C17">
        <v>0</v>
      </c>
      <c r="E17">
        <f>INDEX(MINVERSE(A17:C19),1,1)</f>
        <v>-1</v>
      </c>
      <c r="F17">
        <f>INDEX(MINVERSE(A17:C19),1,2)</f>
        <v>0.66666666666666663</v>
      </c>
      <c r="G17">
        <f>INDEX(MINVERSE(A17:C19),1,3)</f>
        <v>-0.66666666666666663</v>
      </c>
      <c r="I17">
        <f>INDEX(MMULT(A17:C19,E17:G19),1,1)</f>
        <v>1</v>
      </c>
      <c r="J17">
        <f>INDEX(MMULT(A17:C19,E17:G19),1,2)</f>
        <v>0</v>
      </c>
      <c r="K17">
        <f>INDEX(MMULT(A17:C19,E17:G19),1,3)</f>
        <v>0</v>
      </c>
      <c r="O17">
        <v>0.22222222222222221</v>
      </c>
      <c r="P17">
        <v>-5.5555555555555552E-2</v>
      </c>
      <c r="R17">
        <v>0</v>
      </c>
      <c r="S17">
        <v>0</v>
      </c>
      <c r="U17">
        <f>INDEX(MMULT(O16:P17,R16:S17),2,1)</f>
        <v>3.7777777777777777</v>
      </c>
      <c r="V17">
        <f>INDEX(MMULT(O16:P17,R16:S17),2,2)</f>
        <v>0</v>
      </c>
      <c r="W17">
        <f>U17*6</f>
        <v>22.666666666666664</v>
      </c>
      <c r="X17">
        <f>V17*6</f>
        <v>0</v>
      </c>
      <c r="AA17">
        <v>-0.94280904158206302</v>
      </c>
      <c r="AB17">
        <v>0.33333333333333331</v>
      </c>
      <c r="AD17">
        <v>24.041630560342615</v>
      </c>
      <c r="AE17">
        <v>0</v>
      </c>
      <c r="AG17">
        <f>INDEX(MMULT(AA16:AB17,AD16:AE17),2,1)</f>
        <v>8.0138768534475382</v>
      </c>
      <c r="AH17">
        <f>INDEX(MMULT(AA16:AB17,AD16:AE17),2,2)</f>
        <v>0</v>
      </c>
      <c r="AO17">
        <f>-SIN(AN16*3.1416/180)</f>
        <v>-0.76604575483445425</v>
      </c>
      <c r="AP17">
        <f>COS(AN16*3.1416/180)</f>
        <v>0.64278604644166881</v>
      </c>
      <c r="AR17">
        <v>0</v>
      </c>
      <c r="AS17">
        <v>0</v>
      </c>
      <c r="AU17">
        <f>INDEX(MMULT(AO16:AP17,AR16:AS17),2,1)</f>
        <v>-9.5666969961600952</v>
      </c>
      <c r="AV17">
        <f>INDEX(MMULT(AO16:AP17,AR16:AS17),2,2)</f>
        <v>0</v>
      </c>
      <c r="BD17" s="1"/>
    </row>
    <row r="18" spans="1:56" x14ac:dyDescent="0.2">
      <c r="A18">
        <v>4</v>
      </c>
      <c r="B18">
        <v>5</v>
      </c>
      <c r="C18">
        <v>1</v>
      </c>
      <c r="E18">
        <f>INDEX(MINVERSE(A17:C19),2,1)</f>
        <v>1</v>
      </c>
      <c r="F18">
        <f>INDEX(MINVERSE(A17:C19),2,2)</f>
        <v>-0.33333333333333331</v>
      </c>
      <c r="G18">
        <f>INDEX(MINVERSE(A17:C19),2,3)</f>
        <v>0.33333333333333331</v>
      </c>
      <c r="I18">
        <f>INDEX(MMULT(A17:C19,E17:G19),2,1)</f>
        <v>0</v>
      </c>
      <c r="J18">
        <f>INDEX(MMULT(A17:C19,E17:G19),2,2)</f>
        <v>1</v>
      </c>
      <c r="K18">
        <f>INDEX(MMULT(A17:C19,E17:G19),2,3)</f>
        <v>0</v>
      </c>
      <c r="O18" s="1" t="s">
        <v>22</v>
      </c>
      <c r="R18" s="1" t="s">
        <v>13</v>
      </c>
    </row>
    <row r="19" spans="1:56" x14ac:dyDescent="0.2">
      <c r="A19">
        <v>1</v>
      </c>
      <c r="B19">
        <v>2</v>
      </c>
      <c r="C19">
        <v>1</v>
      </c>
      <c r="E19">
        <f>INDEX(MINVERSE(A17:C19),3,1)</f>
        <v>-1</v>
      </c>
      <c r="F19">
        <f>INDEX(MINVERSE(A17:C19),3,2)</f>
        <v>0</v>
      </c>
      <c r="G19">
        <f>INDEX(MINVERSE(A17:C19),3,3)</f>
        <v>1</v>
      </c>
      <c r="I19">
        <f>INDEX(MMULT(A17:C19,E17:G19),3,1)</f>
        <v>0</v>
      </c>
      <c r="J19">
        <f>INDEX(MMULT(A17:C19,E17:G19),3,2)</f>
        <v>0</v>
      </c>
      <c r="K19">
        <f>INDEX(MMULT(A17:C19,E17:G19),3,3)</f>
        <v>1</v>
      </c>
      <c r="O19">
        <v>5.5555555555555552E-2</v>
      </c>
      <c r="P19">
        <v>0.1111111111111111</v>
      </c>
      <c r="R19">
        <v>5.6666666666666661</v>
      </c>
      <c r="S19">
        <v>0</v>
      </c>
      <c r="U19">
        <f>INDEX(MMULT(O19:P20,R19:S20),1,1)</f>
        <v>2.833333333333333</v>
      </c>
      <c r="V19">
        <f>INDEX(MMULT(O19:P20,R19:S20),1,2)</f>
        <v>0</v>
      </c>
      <c r="W19">
        <f>U19*6</f>
        <v>17</v>
      </c>
      <c r="X19">
        <f>V19*6</f>
        <v>0</v>
      </c>
      <c r="AU19" s="1" t="s">
        <v>87</v>
      </c>
    </row>
    <row r="20" spans="1:56" x14ac:dyDescent="0.2">
      <c r="O20">
        <v>0.22222222222222221</v>
      </c>
      <c r="P20">
        <v>-5.5555555555555552E-2</v>
      </c>
      <c r="R20">
        <v>22.666666666666664</v>
      </c>
      <c r="S20">
        <v>0</v>
      </c>
      <c r="U20">
        <f>INDEX(MMULT(O19:P20,R19:S20),2,1)</f>
        <v>0</v>
      </c>
      <c r="V20">
        <f>INDEX(MMULT(O19:P20,R19:S20),2,2)</f>
        <v>0</v>
      </c>
      <c r="W20">
        <f>U20*6</f>
        <v>0</v>
      </c>
      <c r="X20">
        <f>V20*6</f>
        <v>0</v>
      </c>
      <c r="AD20" s="1" t="s">
        <v>35</v>
      </c>
      <c r="AN20">
        <v>12.48841460942173</v>
      </c>
      <c r="AO20">
        <f>(AN21/(AN20*(COS(AN16*3.1416/180))))-1</f>
        <v>1.1177523491313206</v>
      </c>
      <c r="AP20">
        <v>0</v>
      </c>
      <c r="AR20">
        <f>AU16</f>
        <v>8.027378653114571</v>
      </c>
      <c r="AS20">
        <v>0</v>
      </c>
      <c r="AU20">
        <f>INDEX(MMULT(AO20:AP21,AR20:AS21),1,1)</f>
        <v>8.9726213468854272</v>
      </c>
      <c r="AV20">
        <f>INDEX(MMULT(AO20:AP21,AR20:AS21),1,2)</f>
        <v>0</v>
      </c>
    </row>
    <row r="21" spans="1:56" x14ac:dyDescent="0.2">
      <c r="AA21">
        <v>2</v>
      </c>
      <c r="AB21">
        <v>4</v>
      </c>
      <c r="AD21">
        <f>AA21/6</f>
        <v>0.33333333333333331</v>
      </c>
      <c r="AE21">
        <f>AB21/6</f>
        <v>0.66666666666666663</v>
      </c>
      <c r="AN21">
        <v>17</v>
      </c>
      <c r="AO21">
        <v>0</v>
      </c>
      <c r="AP21">
        <f>-1</f>
        <v>-1</v>
      </c>
      <c r="AR21">
        <f>AU17</f>
        <v>-9.5666969961600952</v>
      </c>
      <c r="AS21">
        <v>0</v>
      </c>
      <c r="AU21">
        <f>INDEX(MMULT(AO20:AP21,AR20:AS21),2,1)</f>
        <v>9.5666969961600952</v>
      </c>
      <c r="AV21">
        <f>INDEX(MMULT(AO20:AP21,AR20:AS21),2,2)</f>
        <v>0</v>
      </c>
    </row>
    <row r="22" spans="1:56" x14ac:dyDescent="0.2">
      <c r="AA22">
        <v>8</v>
      </c>
      <c r="AB22">
        <v>-2</v>
      </c>
      <c r="AD22">
        <f>AA22/6</f>
        <v>1.3333333333333333</v>
      </c>
      <c r="AE22">
        <f>AB22/6</f>
        <v>-0.33333333333333331</v>
      </c>
      <c r="AG22" s="1"/>
    </row>
    <row r="23" spans="1:56" x14ac:dyDescent="0.2">
      <c r="AN23" s="1"/>
      <c r="AO23" s="1" t="s">
        <v>86</v>
      </c>
      <c r="AR23" s="1"/>
      <c r="AU23" s="1" t="s">
        <v>14</v>
      </c>
    </row>
    <row r="24" spans="1:56" x14ac:dyDescent="0.2">
      <c r="A24">
        <v>1</v>
      </c>
      <c r="B24">
        <v>-1</v>
      </c>
      <c r="C24">
        <v>-1</v>
      </c>
      <c r="E24">
        <f>INDEX(MINVERSE(A24:C26),1,1)</f>
        <v>0.18181818181818185</v>
      </c>
      <c r="F24">
        <f>INDEX(MINVERSE(A24:C26),1,2)</f>
        <v>0.27272727272727271</v>
      </c>
      <c r="G24">
        <f>INDEX(MINVERSE(A24:C26),1,3)</f>
        <v>9.0909090909090925E-2</v>
      </c>
      <c r="H24">
        <v>0</v>
      </c>
      <c r="I24">
        <f>INDEX(MMULT(E24:G26,H24:H26),1,1)</f>
        <v>-2</v>
      </c>
      <c r="AN24">
        <v>50</v>
      </c>
      <c r="AO24">
        <f>COS(AN24*3.1416/180)</f>
        <v>0.64278604644166881</v>
      </c>
      <c r="AP24">
        <f>SIN(AN24*3.1416/180)</f>
        <v>0.76604575483445425</v>
      </c>
      <c r="AR24">
        <f>AN28</f>
        <v>12.48841460942173</v>
      </c>
      <c r="AS24">
        <v>0</v>
      </c>
      <c r="AU24">
        <f>INDEX(MMULT(AO24:AP25,AR24:AS25),1,1)</f>
        <v>8.027378653114571</v>
      </c>
      <c r="AV24">
        <f>INDEX(MMULT(AO24:AP25,AR24:AS25),1,2)</f>
        <v>0</v>
      </c>
    </row>
    <row r="25" spans="1:56" x14ac:dyDescent="0.2">
      <c r="A25">
        <v>3</v>
      </c>
      <c r="B25">
        <v>1</v>
      </c>
      <c r="C25">
        <v>0</v>
      </c>
      <c r="E25">
        <f>INDEX(MINVERSE(A24:C26),2,1)</f>
        <v>-0.54545454545454553</v>
      </c>
      <c r="F25">
        <f>INDEX(MINVERSE(A24:C26),2,2)</f>
        <v>0.18181818181818182</v>
      </c>
      <c r="G25">
        <f>INDEX(MINVERSE(A24:C26),2,3)</f>
        <v>-0.27272727272727276</v>
      </c>
      <c r="H25">
        <v>-5</v>
      </c>
      <c r="I25">
        <f>INDEX(MMULT(E24:G26,H24:H26),2,1)</f>
        <v>1.0000000000000002</v>
      </c>
      <c r="AA25" s="1" t="s">
        <v>10</v>
      </c>
      <c r="AD25" s="1" t="s">
        <v>24</v>
      </c>
      <c r="AG25" s="1" t="s">
        <v>14</v>
      </c>
      <c r="AO25">
        <f>-SIN(AN24*3.1416/180)</f>
        <v>-0.76604575483445425</v>
      </c>
      <c r="AP25">
        <f>COS(AN24*3.1416/180)</f>
        <v>0.64278604644166881</v>
      </c>
      <c r="AR25">
        <v>0</v>
      </c>
      <c r="AS25">
        <v>0</v>
      </c>
      <c r="AU25">
        <f>INDEX(MMULT(AO24:AP25,AR24:AS25),2,1)</f>
        <v>-9.5666969961600952</v>
      </c>
      <c r="AV25">
        <f>INDEX(MMULT(AO24:AP25,AR24:AS25),2,2)</f>
        <v>0</v>
      </c>
    </row>
    <row r="26" spans="1:56" x14ac:dyDescent="0.2">
      <c r="A26">
        <v>0</v>
      </c>
      <c r="B26">
        <v>-1</v>
      </c>
      <c r="C26">
        <v>2</v>
      </c>
      <c r="E26">
        <f>INDEX(MINVERSE(A24:C26),3,1)</f>
        <v>-0.27272727272727271</v>
      </c>
      <c r="F26">
        <f>INDEX(MINVERSE(A24:C26),3,2)</f>
        <v>9.0909090909090912E-2</v>
      </c>
      <c r="G26">
        <f>INDEX(MINVERSE(A24:C26),3,3)</f>
        <v>0.36363636363636365</v>
      </c>
      <c r="H26">
        <v>-7</v>
      </c>
      <c r="I26">
        <f>INDEX(MMULT(E24:G26,H24:H26),3,1)</f>
        <v>-3</v>
      </c>
      <c r="O26" s="1" t="s">
        <v>10</v>
      </c>
      <c r="R26" s="1" t="s">
        <v>12</v>
      </c>
      <c r="U26" s="1" t="s">
        <v>14</v>
      </c>
      <c r="W26" s="1" t="s">
        <v>16</v>
      </c>
      <c r="AA26">
        <v>0.33333333333333331</v>
      </c>
      <c r="AB26">
        <v>0.66666666666666663</v>
      </c>
      <c r="AD26">
        <f>INDEX(MINVERSE(AA26:AB27),1,1)</f>
        <v>0.33333333333333331</v>
      </c>
      <c r="AE26">
        <f>INDEX(MINVERSE(AA26:AB27),1,2)</f>
        <v>0.66666666666666663</v>
      </c>
      <c r="AG26">
        <f>INDEX(MMULT(AA26:AB27,AD26:AE27),1,1)</f>
        <v>1</v>
      </c>
      <c r="AH26">
        <f>INDEX(MMULT(AA26:AB27,AD26:AE27),1,2)</f>
        <v>0</v>
      </c>
    </row>
    <row r="27" spans="1:56" x14ac:dyDescent="0.2">
      <c r="A27" t="s">
        <v>2</v>
      </c>
      <c r="E27" t="s">
        <v>0</v>
      </c>
      <c r="H27" t="s">
        <v>3</v>
      </c>
      <c r="I27" t="s">
        <v>1</v>
      </c>
      <c r="N27" s="1" t="s">
        <v>21</v>
      </c>
      <c r="O27">
        <v>2</v>
      </c>
      <c r="P27">
        <v>4</v>
      </c>
      <c r="R27">
        <v>5.6666699999999999</v>
      </c>
      <c r="S27">
        <v>0</v>
      </c>
      <c r="U27">
        <f>INDEX(MMULT(O27:P28,R27:S28),1,1)</f>
        <v>-33.999980000000001</v>
      </c>
      <c r="V27">
        <f>INDEX(MMULT(O27:P28,R27:S28),1,2)</f>
        <v>0</v>
      </c>
      <c r="W27">
        <f>U27/6</f>
        <v>-5.6666633333333332</v>
      </c>
      <c r="X27">
        <f>V27/6</f>
        <v>0</v>
      </c>
      <c r="AA27">
        <v>1.3333333333333333</v>
      </c>
      <c r="AB27">
        <v>-0.33333333333333331</v>
      </c>
      <c r="AD27">
        <f>INDEX(MINVERSE(AA26:AB27),2,1)</f>
        <v>1.3333333333333333</v>
      </c>
      <c r="AE27">
        <f>INDEX(MINVERSE(AA26:AB27),2,2)</f>
        <v>-0.33333333333333331</v>
      </c>
      <c r="AG27">
        <f>INDEX(MMULT(AA26:AB27,AD26:AE27),2,1)</f>
        <v>0</v>
      </c>
      <c r="AH27">
        <f>INDEX(MMULT(AA26:AB27,AD26:AE27),2,2)</f>
        <v>1</v>
      </c>
      <c r="AU27" s="1" t="s">
        <v>87</v>
      </c>
    </row>
    <row r="28" spans="1:56" x14ac:dyDescent="0.2">
      <c r="O28">
        <v>8</v>
      </c>
      <c r="P28">
        <v>-2</v>
      </c>
      <c r="R28">
        <v>-11.33333</v>
      </c>
      <c r="S28">
        <v>0</v>
      </c>
      <c r="U28">
        <f>INDEX(MMULT(O27:P28,R27:S28),2,1)</f>
        <v>68.000020000000006</v>
      </c>
      <c r="V28">
        <f>INDEX(MMULT(O27:P28,R27:S28),2,2)</f>
        <v>0</v>
      </c>
      <c r="W28">
        <f>U28/6</f>
        <v>11.333336666666668</v>
      </c>
      <c r="X28">
        <f>V28/6</f>
        <v>0</v>
      </c>
      <c r="AN28">
        <v>12.48841460942173</v>
      </c>
      <c r="AO28">
        <f>(AN29/(AN28*(COS(AN24*3.1416/180))))-1</f>
        <v>-0.69746395012409712</v>
      </c>
      <c r="AP28">
        <v>0</v>
      </c>
      <c r="AR28">
        <f>AU24</f>
        <v>8.027378653114571</v>
      </c>
      <c r="AS28">
        <v>0</v>
      </c>
      <c r="AU28">
        <f>INDEX(MMULT(AO28:AP29,AR28:AS29),1,1)</f>
        <v>-5.5988072245431431</v>
      </c>
      <c r="AV28">
        <f>INDEX(MMULT(AO28:AP29,AR28:AS29),1,2)</f>
        <v>0</v>
      </c>
    </row>
    <row r="29" spans="1:56" x14ac:dyDescent="0.2">
      <c r="AA29" s="1"/>
      <c r="AD29" s="1" t="s">
        <v>36</v>
      </c>
      <c r="AN29">
        <v>2.4285714285714284</v>
      </c>
      <c r="AO29">
        <v>0</v>
      </c>
      <c r="AP29">
        <f>-1</f>
        <v>-1</v>
      </c>
      <c r="AR29">
        <f>AU25</f>
        <v>-9.5666969961600952</v>
      </c>
      <c r="AS29">
        <v>0</v>
      </c>
      <c r="AU29">
        <f>INDEX(MMULT(AO28:AP29,AR28:AS29),2,1)</f>
        <v>9.5666969961600952</v>
      </c>
      <c r="AV29">
        <f>INDEX(MMULT(AO28:AP29,AR28:AS29),2,2)</f>
        <v>0</v>
      </c>
    </row>
    <row r="30" spans="1:56" x14ac:dyDescent="0.2">
      <c r="A30">
        <v>1</v>
      </c>
      <c r="B30">
        <v>-1</v>
      </c>
      <c r="C30">
        <v>-1</v>
      </c>
      <c r="E30">
        <f>INDEX(MINVERSE(A30:C32),1,1)</f>
        <v>0.40540540540540537</v>
      </c>
      <c r="F30">
        <f>INDEX(MINVERSE(A30:C32),1,2)</f>
        <v>0.14864864864864866</v>
      </c>
      <c r="G30">
        <f>INDEX(MINVERSE(A30:C32),1,3)</f>
        <v>6.7567567567567571E-2</v>
      </c>
      <c r="H30">
        <v>0</v>
      </c>
      <c r="I30">
        <f>INDEX(MMULT(E30:G32,H30:H32),1,1)</f>
        <v>-0.3783783783783784</v>
      </c>
      <c r="O30" s="1" t="s">
        <v>23</v>
      </c>
      <c r="R30" s="1" t="s">
        <v>12</v>
      </c>
      <c r="U30" s="1" t="s">
        <v>14</v>
      </c>
      <c r="W30" s="1" t="s">
        <v>15</v>
      </c>
      <c r="AA30" s="1" t="s">
        <v>5</v>
      </c>
      <c r="AB30" s="1" t="s">
        <v>8</v>
      </c>
      <c r="AD30" s="2" t="s">
        <v>37</v>
      </c>
      <c r="AE30" s="1" t="s">
        <v>40</v>
      </c>
      <c r="AG30">
        <f>(10-2)/12</f>
        <v>0.66666666666666663</v>
      </c>
      <c r="AH30">
        <f>2*2/12</f>
        <v>0.33333333333333331</v>
      </c>
    </row>
    <row r="31" spans="1:56" x14ac:dyDescent="0.2">
      <c r="A31">
        <v>4</v>
      </c>
      <c r="B31">
        <v>5</v>
      </c>
      <c r="C31">
        <v>0</v>
      </c>
      <c r="E31">
        <f>INDEX(MINVERSE(A30:C32),2,1)</f>
        <v>-0.32432432432432429</v>
      </c>
      <c r="F31">
        <f>INDEX(MINVERSE(A30:C32),2,2)</f>
        <v>8.1081081081081072E-2</v>
      </c>
      <c r="G31">
        <f>INDEX(MINVERSE(A30:C32),2,3)</f>
        <v>-5.4054054054054057E-2</v>
      </c>
      <c r="H31">
        <v>-3</v>
      </c>
      <c r="I31">
        <f>INDEX(MMULT(E30:G32,H30:H32),2,1)</f>
        <v>-0.29729729729729726</v>
      </c>
      <c r="N31" s="1" t="s">
        <v>20</v>
      </c>
      <c r="O31">
        <v>5.5555555555555552E-2</v>
      </c>
      <c r="P31">
        <v>0.1111111111111111</v>
      </c>
      <c r="R31">
        <v>5.6666667000000004</v>
      </c>
      <c r="S31">
        <v>0</v>
      </c>
      <c r="U31">
        <f>INDEX(MMULT(O31:P32,R31:S32),1,1)</f>
        <v>-0.94444440555555542</v>
      </c>
      <c r="V31">
        <f>INDEX(MMULT(O31:P32,R31:S32),1,2)</f>
        <v>0</v>
      </c>
      <c r="W31">
        <f>U31*6</f>
        <v>-5.666666433333333</v>
      </c>
      <c r="X31">
        <f>V31*6</f>
        <v>0</v>
      </c>
      <c r="AA31" s="1" t="s">
        <v>7</v>
      </c>
      <c r="AB31" s="1" t="s">
        <v>6</v>
      </c>
      <c r="AD31" s="1" t="s">
        <v>39</v>
      </c>
      <c r="AE31" s="1" t="s">
        <v>38</v>
      </c>
      <c r="AG31">
        <f>2*10/12</f>
        <v>1.6666666666666667</v>
      </c>
      <c r="AH31">
        <f>(2-10)/12</f>
        <v>-0.66666666666666663</v>
      </c>
      <c r="AN31" s="1"/>
      <c r="AO31" s="1" t="s">
        <v>86</v>
      </c>
      <c r="AR31" s="1"/>
      <c r="AU31" s="1" t="s">
        <v>14</v>
      </c>
    </row>
    <row r="32" spans="1:56" x14ac:dyDescent="0.2">
      <c r="A32">
        <v>0</v>
      </c>
      <c r="B32">
        <v>-5</v>
      </c>
      <c r="C32">
        <v>6</v>
      </c>
      <c r="E32">
        <f>INDEX(MINVERSE(A30:C32),3,1)</f>
        <v>-0.27027027027027023</v>
      </c>
      <c r="F32">
        <f>INDEX(MINVERSE(A30:C32),3,2)</f>
        <v>6.7567567567567557E-2</v>
      </c>
      <c r="G32">
        <f>INDEX(MINVERSE(A30:C32),3,3)</f>
        <v>0.12162162162162161</v>
      </c>
      <c r="H32">
        <v>1</v>
      </c>
      <c r="I32">
        <f>INDEX(MMULT(E30:G32,H30:H32),3,1)</f>
        <v>-8.1081081081081072E-2</v>
      </c>
      <c r="O32">
        <v>0.22222222222222221</v>
      </c>
      <c r="P32">
        <v>-5.5555555555555552E-2</v>
      </c>
      <c r="R32">
        <v>-11.333333</v>
      </c>
      <c r="S32">
        <v>0</v>
      </c>
      <c r="U32">
        <f>INDEX(MMULT(O31:P32,R31:S32),2,1)</f>
        <v>1.8888888777777777</v>
      </c>
      <c r="V32">
        <f>INDEX(MMULT(O31:P32,R31:S32),2,2)</f>
        <v>0</v>
      </c>
      <c r="W32">
        <f>U32*6</f>
        <v>11.333333266666667</v>
      </c>
      <c r="X32">
        <f>V32*6</f>
        <v>0</v>
      </c>
      <c r="AN32">
        <v>50</v>
      </c>
      <c r="AO32">
        <f>COS(AN32*3.1416/180)</f>
        <v>0.64278604644166881</v>
      </c>
      <c r="AP32">
        <f>SIN(AN32*3.1416/180)</f>
        <v>0.76604575483445425</v>
      </c>
      <c r="AR32">
        <f>AN36</f>
        <v>12.48841460942173</v>
      </c>
      <c r="AS32">
        <v>0</v>
      </c>
      <c r="AU32">
        <f>INDEX(MMULT(AO32:AP33,AR32:AS33),1,1)</f>
        <v>8.027378653114571</v>
      </c>
      <c r="AV32">
        <f>INDEX(MMULT(AO32:AP33,AR32:AS33),1,2)</f>
        <v>0</v>
      </c>
    </row>
    <row r="33" spans="1:48" x14ac:dyDescent="0.2">
      <c r="A33" t="s">
        <v>2</v>
      </c>
      <c r="E33" t="s">
        <v>0</v>
      </c>
      <c r="H33" t="s">
        <v>3</v>
      </c>
      <c r="I33" t="s">
        <v>1</v>
      </c>
      <c r="AO33">
        <f>-SIN(AN32*3.1416/180)</f>
        <v>-0.76604575483445425</v>
      </c>
      <c r="AP33">
        <f>COS(AN32*3.1416/180)</f>
        <v>0.64278604644166881</v>
      </c>
      <c r="AR33">
        <v>0</v>
      </c>
      <c r="AS33">
        <v>0</v>
      </c>
      <c r="AU33">
        <f>INDEX(MMULT(AO32:AP33,AR32:AS33),2,1)</f>
        <v>-9.5666969961600952</v>
      </c>
      <c r="AV33">
        <f>INDEX(MMULT(AO32:AP33,AR32:AS33),2,2)</f>
        <v>0</v>
      </c>
    </row>
    <row r="34" spans="1:48" x14ac:dyDescent="0.2">
      <c r="O34" s="1" t="s">
        <v>17</v>
      </c>
      <c r="R34" s="1" t="s">
        <v>12</v>
      </c>
      <c r="W34" s="1" t="s">
        <v>16</v>
      </c>
      <c r="AA34" s="1" t="s">
        <v>10</v>
      </c>
      <c r="AD34" s="1" t="s">
        <v>24</v>
      </c>
      <c r="AG34" s="1" t="s">
        <v>14</v>
      </c>
    </row>
    <row r="35" spans="1:48" x14ac:dyDescent="0.2">
      <c r="O35">
        <v>-6</v>
      </c>
      <c r="P35">
        <v>0</v>
      </c>
      <c r="R35">
        <v>5.6666667000000004</v>
      </c>
      <c r="S35">
        <v>0</v>
      </c>
      <c r="U35">
        <f>INDEX(MMULT(O35:P36,R35:S36),1,1)</f>
        <v>-34.000000200000002</v>
      </c>
      <c r="V35">
        <f>INDEX(MMULT(O35:P36,R35:S36),1,2)</f>
        <v>0</v>
      </c>
      <c r="W35">
        <f>U35/6</f>
        <v>-5.6666667000000004</v>
      </c>
      <c r="X35">
        <f>V35/6</f>
        <v>0</v>
      </c>
      <c r="AA35">
        <v>0.66666666666666663</v>
      </c>
      <c r="AB35">
        <v>0.33333333333333331</v>
      </c>
      <c r="AD35">
        <f>INDEX(MINVERSE(AA35:AB36),1,1)</f>
        <v>0.66666666666666663</v>
      </c>
      <c r="AE35">
        <f>INDEX(MINVERSE(AA35:AB36),1,2)</f>
        <v>0.33333333333333331</v>
      </c>
      <c r="AG35">
        <f>INDEX(MMULT(AA35:AB36,AD35:AE36),1,1)</f>
        <v>1</v>
      </c>
      <c r="AH35">
        <f>INDEX(MMULT(AA35:AB36,AD35:AE36),1,2)</f>
        <v>-2.7755575615628914E-17</v>
      </c>
      <c r="AU35" s="1" t="s">
        <v>87</v>
      </c>
    </row>
    <row r="36" spans="1:48" x14ac:dyDescent="0.2">
      <c r="O36">
        <v>0</v>
      </c>
      <c r="P36">
        <v>-6</v>
      </c>
      <c r="R36">
        <v>-11.333333</v>
      </c>
      <c r="S36">
        <v>0</v>
      </c>
      <c r="U36">
        <f>INDEX(MMULT(O35:P36,R35:S36),2,1)</f>
        <v>67.999998000000005</v>
      </c>
      <c r="V36">
        <f>INDEX(MMULT(O35:P36,R35:S36),2,2)</f>
        <v>0</v>
      </c>
      <c r="W36">
        <f>U36/6</f>
        <v>11.333333000000001</v>
      </c>
      <c r="X36">
        <f>V36/6</f>
        <v>0</v>
      </c>
      <c r="AA36">
        <v>1.6666666666666667</v>
      </c>
      <c r="AB36">
        <v>-0.66666666666666663</v>
      </c>
      <c r="AD36">
        <f>INDEX(MINVERSE(AA35:AB36),2,1)</f>
        <v>1.666666666666667</v>
      </c>
      <c r="AE36">
        <f>INDEX(MINVERSE(AA35:AB36),2,2)</f>
        <v>-0.66666666666666674</v>
      </c>
      <c r="AG36">
        <f>INDEX(MMULT(AA35:AB36,AD35:AE36),2,1)</f>
        <v>0</v>
      </c>
      <c r="AH36">
        <f>INDEX(MMULT(AA35:AB36,AD35:AE36),2,2)</f>
        <v>1</v>
      </c>
      <c r="AN36">
        <v>12.48841460942173</v>
      </c>
      <c r="AO36">
        <f>(AN37/(AN36*(COS(AN32*3.1416/180))))-1</f>
        <v>1.4202883990072235</v>
      </c>
      <c r="AP36">
        <v>0</v>
      </c>
      <c r="AR36">
        <f>AU32</f>
        <v>8.027378653114571</v>
      </c>
      <c r="AS36">
        <v>0</v>
      </c>
      <c r="AU36">
        <f>INDEX(MMULT(AO36:AP37,AR36:AS37),1,1)</f>
        <v>11.401192775456856</v>
      </c>
      <c r="AV36">
        <f>INDEX(MMULT(AO36:AP37,AR36:AS37),1,2)</f>
        <v>0</v>
      </c>
    </row>
    <row r="37" spans="1:48" x14ac:dyDescent="0.2">
      <c r="AN37">
        <v>19.428571428571427</v>
      </c>
      <c r="AO37">
        <v>0</v>
      </c>
      <c r="AP37">
        <f>-1</f>
        <v>-1</v>
      </c>
      <c r="AR37">
        <f>AU33</f>
        <v>-9.5666969961600952</v>
      </c>
      <c r="AS37">
        <v>0</v>
      </c>
      <c r="AU37">
        <f>INDEX(MMULT(AO36:AP37,AR36:AS37),2,1)</f>
        <v>9.5666969961600952</v>
      </c>
      <c r="AV37">
        <f>INDEX(MMULT(AO36:AP37,AR36:AS37),2,2)</f>
        <v>0</v>
      </c>
    </row>
    <row r="38" spans="1:48" x14ac:dyDescent="0.2">
      <c r="AA38" s="1" t="s">
        <v>10</v>
      </c>
      <c r="AD38" s="1" t="s">
        <v>13</v>
      </c>
      <c r="AG38" s="1" t="s">
        <v>14</v>
      </c>
      <c r="AI38" s="1" t="s">
        <v>41</v>
      </c>
    </row>
    <row r="39" spans="1:48" x14ac:dyDescent="0.2">
      <c r="AA39">
        <v>8</v>
      </c>
      <c r="AB39">
        <v>4</v>
      </c>
      <c r="AD39">
        <v>17</v>
      </c>
      <c r="AE39">
        <v>0</v>
      </c>
      <c r="AG39">
        <f>INDEX(MMULT(AA39:AB40,AD39:AE40),1,1)</f>
        <v>136</v>
      </c>
      <c r="AH39">
        <f>INDEX(MMULT(AA39:AB40,AD39:AE40),1,2)</f>
        <v>0</v>
      </c>
      <c r="AI39">
        <f>AG39/12</f>
        <v>11.333333333333334</v>
      </c>
      <c r="AJ39">
        <f>AH39/12</f>
        <v>0</v>
      </c>
    </row>
    <row r="40" spans="1:48" x14ac:dyDescent="0.2">
      <c r="AA40">
        <v>20</v>
      </c>
      <c r="AB40">
        <v>-8</v>
      </c>
      <c r="AD40">
        <v>0</v>
      </c>
      <c r="AE40">
        <v>0</v>
      </c>
      <c r="AG40">
        <f>INDEX(MMULT(AA39:AB40,AD39:AE40),2,1)</f>
        <v>340</v>
      </c>
      <c r="AH40">
        <f>INDEX(MMULT(AA39:AB40,AD39:AE40),2,2)</f>
        <v>0</v>
      </c>
      <c r="AI40">
        <f>AG40/12</f>
        <v>28.333333333333332</v>
      </c>
      <c r="AJ40">
        <f>AH40/12</f>
        <v>0</v>
      </c>
      <c r="AN40" s="1" t="s">
        <v>88</v>
      </c>
    </row>
    <row r="41" spans="1:48" x14ac:dyDescent="0.2">
      <c r="AM41">
        <v>50</v>
      </c>
      <c r="AN41">
        <f>(AM45/(AM44*COS(AM41*3.1416/180))-1)</f>
        <v>1.1177523491313206</v>
      </c>
      <c r="AO41">
        <v>0</v>
      </c>
      <c r="AQ41">
        <f>COS(AM41*3.1416/180)</f>
        <v>0.64278604644166881</v>
      </c>
      <c r="AR41">
        <f>SIN(AM41*3.1416/180)</f>
        <v>0.76604575483445425</v>
      </c>
      <c r="AT41">
        <f>INDEX(MMULT(AN41:AO42,AQ41:AR42),1,1)</f>
        <v>0.71847561339900945</v>
      </c>
      <c r="AU41">
        <f>INDEX(MMULT(AN41:AO42,AQ41:AR42),1,2)</f>
        <v>0.8562494420082869</v>
      </c>
    </row>
    <row r="42" spans="1:48" x14ac:dyDescent="0.2">
      <c r="AA42" s="1" t="s">
        <v>10</v>
      </c>
      <c r="AD42" s="1" t="s">
        <v>13</v>
      </c>
      <c r="AG42" s="1" t="s">
        <v>14</v>
      </c>
      <c r="AN42">
        <v>0</v>
      </c>
      <c r="AO42">
        <f>-1</f>
        <v>-1</v>
      </c>
      <c r="AQ42">
        <f>-SIN(AM41*3.1416/180)</f>
        <v>-0.76604575483445425</v>
      </c>
      <c r="AR42">
        <f>COS(AM41*3.1416/180)</f>
        <v>0.64278604644166881</v>
      </c>
      <c r="AT42">
        <f>INDEX(MMULT(AN41:AO42,AQ41:AR42),2,1)</f>
        <v>0.76604575483445425</v>
      </c>
      <c r="AU42">
        <f>INDEX(MMULT(AN41:AO42,AQ41:AR42),2,2)</f>
        <v>-0.64278604644166881</v>
      </c>
    </row>
    <row r="43" spans="1:48" x14ac:dyDescent="0.2">
      <c r="AA43">
        <v>0.66666666666666663</v>
      </c>
      <c r="AB43">
        <v>0.33333333333333331</v>
      </c>
      <c r="AD43">
        <v>17</v>
      </c>
      <c r="AE43">
        <v>0</v>
      </c>
      <c r="AG43">
        <f>INDEX(MMULT(AA43:AB44,AD43:AE44),1,1)</f>
        <v>11.333333333333332</v>
      </c>
      <c r="AH43">
        <f>INDEX(MMULT(AA43:AB44,AD43:AE44),1,2)</f>
        <v>0</v>
      </c>
      <c r="AT43" s="1" t="s">
        <v>87</v>
      </c>
    </row>
    <row r="44" spans="1:48" x14ac:dyDescent="0.2">
      <c r="AA44">
        <v>1.6666666666666667</v>
      </c>
      <c r="AB44">
        <v>-0.66666666666666663</v>
      </c>
      <c r="AD44">
        <v>0</v>
      </c>
      <c r="AE44">
        <v>0</v>
      </c>
      <c r="AG44">
        <f>INDEX(MMULT(AA43:AB44,AD43:AE44),2,1)</f>
        <v>28.333333333333336</v>
      </c>
      <c r="AH44">
        <f>INDEX(MMULT(AA43:AB44,AD43:AE44),2,2)</f>
        <v>0</v>
      </c>
      <c r="AM44">
        <v>12.48841460942173</v>
      </c>
      <c r="AN44">
        <f>AT41</f>
        <v>0.71847561339900945</v>
      </c>
      <c r="AO44">
        <f>AU41</f>
        <v>0.8562494420082869</v>
      </c>
      <c r="AQ44">
        <f>AM44</f>
        <v>12.48841460942173</v>
      </c>
      <c r="AR44">
        <v>0</v>
      </c>
      <c r="AT44">
        <f>INDEX(MMULT(AN44:AO45,AQ44:AR45),1,1)</f>
        <v>8.972621346885429</v>
      </c>
      <c r="AU44">
        <f>INDEX(MMULT(AN44:AO45,AQ44:AR45),1,2)</f>
        <v>0</v>
      </c>
    </row>
    <row r="45" spans="1:48" x14ac:dyDescent="0.2">
      <c r="AM45">
        <v>17</v>
      </c>
      <c r="AN45">
        <f>AT42</f>
        <v>0.76604575483445425</v>
      </c>
      <c r="AO45">
        <f>AU42</f>
        <v>-0.64278604644166881</v>
      </c>
      <c r="AQ45">
        <v>0</v>
      </c>
      <c r="AR45">
        <v>0</v>
      </c>
      <c r="AT45">
        <f>INDEX(MMULT(AN44:AO45,AQ44:AR45),2,1)</f>
        <v>9.5666969961600952</v>
      </c>
      <c r="AU45">
        <f>INDEX(MMULT(AN44:AO45,AQ44:AR45),2,2)</f>
        <v>0</v>
      </c>
    </row>
    <row r="47" spans="1:48" x14ac:dyDescent="0.2">
      <c r="AA47" s="1"/>
      <c r="AD47" s="1" t="s">
        <v>42</v>
      </c>
      <c r="AN47" s="1" t="s">
        <v>88</v>
      </c>
    </row>
    <row r="48" spans="1:48" x14ac:dyDescent="0.2">
      <c r="AA48" s="1" t="s">
        <v>5</v>
      </c>
      <c r="AB48" s="1" t="s">
        <v>8</v>
      </c>
      <c r="AD48" s="2" t="s">
        <v>43</v>
      </c>
      <c r="AE48" s="1" t="s">
        <v>45</v>
      </c>
      <c r="AG48">
        <f>(7-3)/10</f>
        <v>0.4</v>
      </c>
      <c r="AH48">
        <f>2*3/10</f>
        <v>0.6</v>
      </c>
      <c r="AM48">
        <v>50</v>
      </c>
      <c r="AN48">
        <f>(AM52/(AM51*COS(AM48*3.1416/180))-1)</f>
        <v>-0.69746395012409712</v>
      </c>
      <c r="AO48">
        <v>0</v>
      </c>
      <c r="AQ48">
        <f>COS(AM48*3.1416/180)</f>
        <v>0.64278604644166881</v>
      </c>
      <c r="AR48">
        <f>SIN(AM48*3.1416/180)</f>
        <v>0.76604575483445425</v>
      </c>
      <c r="AT48">
        <f>INDEX(MMULT(AN48:AO49,AQ48:AR49),1,1)</f>
        <v>-0.44832009503585768</v>
      </c>
      <c r="AU48">
        <f>INDEX(MMULT(AN48:AO49,AQ48:AR49),1,2)</f>
        <v>-0.53428929814263415</v>
      </c>
    </row>
    <row r="49" spans="27:47" x14ac:dyDescent="0.2">
      <c r="AA49" s="1" t="s">
        <v>7</v>
      </c>
      <c r="AB49" s="1" t="s">
        <v>6</v>
      </c>
      <c r="AD49" s="1" t="s">
        <v>46</v>
      </c>
      <c r="AE49" s="1" t="s">
        <v>44</v>
      </c>
      <c r="AG49">
        <f>2*7/10</f>
        <v>1.4</v>
      </c>
      <c r="AH49">
        <f>(3-7)/10</f>
        <v>-0.4</v>
      </c>
      <c r="AN49">
        <v>0</v>
      </c>
      <c r="AO49">
        <f>-1</f>
        <v>-1</v>
      </c>
      <c r="AQ49">
        <f>-SIN(AM48*3.1416/180)</f>
        <v>-0.76604575483445425</v>
      </c>
      <c r="AR49">
        <f>COS(AM48*3.1416/180)</f>
        <v>0.64278604644166881</v>
      </c>
      <c r="AT49">
        <f>INDEX(MMULT(AN48:AO49,AQ48:AR49),2,1)</f>
        <v>0.76604575483445425</v>
      </c>
      <c r="AU49">
        <f>INDEX(MMULT(AN48:AO49,AQ48:AR49),2,2)</f>
        <v>-0.64278604644166881</v>
      </c>
    </row>
    <row r="50" spans="27:47" x14ac:dyDescent="0.2">
      <c r="AT50" s="1" t="s">
        <v>87</v>
      </c>
    </row>
    <row r="51" spans="27:47" x14ac:dyDescent="0.2">
      <c r="AA51" s="1" t="s">
        <v>10</v>
      </c>
      <c r="AD51" s="1" t="s">
        <v>24</v>
      </c>
      <c r="AG51" s="1" t="s">
        <v>14</v>
      </c>
      <c r="AM51">
        <v>12.48841460942173</v>
      </c>
      <c r="AN51">
        <f>AT48</f>
        <v>-0.44832009503585768</v>
      </c>
      <c r="AO51">
        <f>AU48</f>
        <v>-0.53428929814263415</v>
      </c>
      <c r="AQ51">
        <f>AM51</f>
        <v>12.48841460942173</v>
      </c>
      <c r="AR51">
        <v>0</v>
      </c>
      <c r="AT51">
        <f>INDEX(MMULT(AN51:AO52,AQ51:AR52),1,1)</f>
        <v>-5.5988072245431431</v>
      </c>
      <c r="AU51">
        <f>INDEX(MMULT(AN51:AO52,AQ51:AR52),1,2)</f>
        <v>0</v>
      </c>
    </row>
    <row r="52" spans="27:47" x14ac:dyDescent="0.2">
      <c r="AA52">
        <v>0.4</v>
      </c>
      <c r="AB52">
        <v>0.6</v>
      </c>
      <c r="AD52">
        <f>INDEX(MINVERSE(AA52:AB53),1,1)</f>
        <v>0.39999999999999997</v>
      </c>
      <c r="AE52">
        <f>INDEX(MINVERSE(AA52:AB53),1,2)</f>
        <v>0.6</v>
      </c>
      <c r="AG52">
        <f>INDEX(MMULT(AA52:AB53,AD52:AE53),1,1)</f>
        <v>1</v>
      </c>
      <c r="AH52">
        <f>INDEX(MMULT(AA52:AB53,AD52:AE53),1,2)</f>
        <v>0</v>
      </c>
      <c r="AM52">
        <v>2.4285714285714284</v>
      </c>
      <c r="AN52">
        <f>AT49</f>
        <v>0.76604575483445425</v>
      </c>
      <c r="AO52">
        <f>AU49</f>
        <v>-0.64278604644166881</v>
      </c>
      <c r="AQ52">
        <v>0</v>
      </c>
      <c r="AR52">
        <v>0</v>
      </c>
      <c r="AT52">
        <f>INDEX(MMULT(AN51:AO52,AQ51:AR52),2,1)</f>
        <v>9.5666969961600952</v>
      </c>
      <c r="AU52">
        <f>INDEX(MMULT(AN51:AO52,AQ51:AR52),2,2)</f>
        <v>0</v>
      </c>
    </row>
    <row r="53" spans="27:47" x14ac:dyDescent="0.2">
      <c r="AA53">
        <v>1.4</v>
      </c>
      <c r="AB53">
        <v>-0.4</v>
      </c>
      <c r="AD53">
        <f>INDEX(MINVERSE(AA52:AB53),2,1)</f>
        <v>1.4</v>
      </c>
      <c r="AE53">
        <f>INDEX(MINVERSE(AA52:AB53),2,2)</f>
        <v>-0.4</v>
      </c>
      <c r="AG53">
        <f>INDEX(MMULT(AA52:AB53,AD52:AE53),2,1)</f>
        <v>0</v>
      </c>
      <c r="AH53">
        <f>INDEX(MMULT(AA52:AB53,AD52:AE53),2,2)</f>
        <v>1</v>
      </c>
    </row>
    <row r="54" spans="27:47" x14ac:dyDescent="0.2">
      <c r="AN54" s="1" t="s">
        <v>88</v>
      </c>
    </row>
    <row r="55" spans="27:47" x14ac:dyDescent="0.2">
      <c r="AA55" s="1" t="s">
        <v>10</v>
      </c>
      <c r="AD55" s="1" t="s">
        <v>13</v>
      </c>
      <c r="AG55" s="1" t="s">
        <v>14</v>
      </c>
      <c r="AI55" s="1" t="s">
        <v>47</v>
      </c>
      <c r="AM55">
        <v>50</v>
      </c>
      <c r="AN55">
        <f>(AM59/(AM58*COS(AM55*3.1416/180))-1)</f>
        <v>1.4202883990072235</v>
      </c>
      <c r="AO55">
        <v>0</v>
      </c>
      <c r="AQ55">
        <f>COS(AM55*3.1416/180)</f>
        <v>0.64278604644166881</v>
      </c>
      <c r="AR55">
        <f>SIN(AM55*3.1416/180)</f>
        <v>0.76604575483445425</v>
      </c>
      <c r="AT55">
        <f>INDEX(MMULT(AN55:AO56,AQ55:AR56),1,1)</f>
        <v>0.91294156480482058</v>
      </c>
      <c r="AU55">
        <f>INDEX(MMULT(AN55:AO56,AQ55:AR56),1,2)</f>
        <v>1.0880058987001071</v>
      </c>
    </row>
    <row r="56" spans="27:47" x14ac:dyDescent="0.2">
      <c r="AA56">
        <v>4</v>
      </c>
      <c r="AB56">
        <v>6</v>
      </c>
      <c r="AD56">
        <v>17</v>
      </c>
      <c r="AE56">
        <v>0</v>
      </c>
      <c r="AG56">
        <f>INDEX(MMULT(AA56:AB57,AD56:AE57),1,1)</f>
        <v>68</v>
      </c>
      <c r="AH56">
        <f>INDEX(MMULT(AA56:AB57,AD56:AE57),1,2)</f>
        <v>0</v>
      </c>
      <c r="AI56">
        <f>AG56/10</f>
        <v>6.8</v>
      </c>
      <c r="AJ56">
        <f>AH56/10</f>
        <v>0</v>
      </c>
      <c r="AN56">
        <v>0</v>
      </c>
      <c r="AO56">
        <f>-1</f>
        <v>-1</v>
      </c>
      <c r="AQ56">
        <f>-SIN(AM55*3.1416/180)</f>
        <v>-0.76604575483445425</v>
      </c>
      <c r="AR56">
        <f>COS(AM55*3.1416/180)</f>
        <v>0.64278604644166881</v>
      </c>
      <c r="AT56">
        <f>INDEX(MMULT(AN55:AO56,AQ55:AR56),2,1)</f>
        <v>0.76604575483445425</v>
      </c>
      <c r="AU56">
        <f>INDEX(MMULT(AN55:AO56,AQ55:AR56),2,2)</f>
        <v>-0.64278604644166881</v>
      </c>
    </row>
    <row r="57" spans="27:47" x14ac:dyDescent="0.2">
      <c r="AA57">
        <v>14</v>
      </c>
      <c r="AB57">
        <v>-4</v>
      </c>
      <c r="AD57">
        <v>0</v>
      </c>
      <c r="AE57">
        <v>0</v>
      </c>
      <c r="AG57">
        <f>INDEX(MMULT(AA56:AB57,AD56:AE57),2,1)</f>
        <v>238</v>
      </c>
      <c r="AH57">
        <f>INDEX(MMULT(AA56:AB57,AD56:AE57),2,2)</f>
        <v>0</v>
      </c>
      <c r="AI57">
        <f>AG57/10</f>
        <v>23.8</v>
      </c>
      <c r="AJ57">
        <f>AH57/10</f>
        <v>0</v>
      </c>
      <c r="AT57" s="1" t="s">
        <v>87</v>
      </c>
    </row>
    <row r="58" spans="27:47" x14ac:dyDescent="0.2">
      <c r="AM58">
        <v>12.48841460942173</v>
      </c>
      <c r="AN58">
        <f>AT55</f>
        <v>0.91294156480482058</v>
      </c>
      <c r="AO58">
        <f>AU55</f>
        <v>1.0880058987001071</v>
      </c>
      <c r="AQ58">
        <f>AM58</f>
        <v>12.48841460942173</v>
      </c>
      <c r="AR58">
        <v>0</v>
      </c>
      <c r="AT58">
        <f>INDEX(MMULT(AN58:AO59,AQ58:AR59),1,1)</f>
        <v>11.401192775456856</v>
      </c>
      <c r="AU58">
        <f>INDEX(MMULT(AN58:AO59,AQ58:AR59),1,2)</f>
        <v>0</v>
      </c>
    </row>
    <row r="59" spans="27:47" x14ac:dyDescent="0.2">
      <c r="AA59" s="1" t="s">
        <v>10</v>
      </c>
      <c r="AD59" s="1" t="s">
        <v>13</v>
      </c>
      <c r="AG59" s="1" t="s">
        <v>14</v>
      </c>
      <c r="AM59">
        <v>19.428571428571427</v>
      </c>
      <c r="AN59">
        <f>AT56</f>
        <v>0.76604575483445425</v>
      </c>
      <c r="AO59">
        <f>AU56</f>
        <v>-0.64278604644166881</v>
      </c>
      <c r="AQ59">
        <v>0</v>
      </c>
      <c r="AR59">
        <v>0</v>
      </c>
      <c r="AT59">
        <f>INDEX(MMULT(AN58:AO59,AQ58:AR59),2,1)</f>
        <v>9.5666969961600952</v>
      </c>
      <c r="AU59">
        <f>INDEX(MMULT(AN58:AO59,AQ58:AR59),2,2)</f>
        <v>0</v>
      </c>
    </row>
    <row r="60" spans="27:47" x14ac:dyDescent="0.2">
      <c r="AA60">
        <v>0.4</v>
      </c>
      <c r="AB60">
        <v>0.6</v>
      </c>
      <c r="AD60">
        <v>17</v>
      </c>
      <c r="AE60">
        <v>0</v>
      </c>
      <c r="AG60">
        <f>INDEX(MMULT(AA60:AB61,AD60:AE61),1,1)</f>
        <v>6.8000000000000007</v>
      </c>
      <c r="AH60">
        <f>INDEX(MMULT(AA60:AB61,AD60:AE61),1,2)</f>
        <v>0</v>
      </c>
    </row>
    <row r="61" spans="27:47" x14ac:dyDescent="0.2">
      <c r="AA61">
        <v>1.4</v>
      </c>
      <c r="AB61">
        <v>-0.4</v>
      </c>
      <c r="AD61">
        <v>0</v>
      </c>
      <c r="AE61">
        <v>0</v>
      </c>
      <c r="AG61">
        <f>INDEX(MMULT(AA60:AB61,AD60:AE61),2,1)</f>
        <v>23.799999999999997</v>
      </c>
      <c r="AH61">
        <f>INDEX(MMULT(AA60:AB61,AD60:AE61),2,2)</f>
        <v>0</v>
      </c>
    </row>
    <row r="64" spans="27:47" x14ac:dyDescent="0.2">
      <c r="AA64" s="1" t="s">
        <v>5</v>
      </c>
      <c r="AB64" s="1" t="s">
        <v>8</v>
      </c>
      <c r="AD64" s="1" t="s">
        <v>6</v>
      </c>
      <c r="AE64" s="1" t="s">
        <v>48</v>
      </c>
      <c r="AF64" s="1" t="s">
        <v>50</v>
      </c>
    </row>
    <row r="65" spans="27:31" x14ac:dyDescent="0.2">
      <c r="AA65" s="1" t="s">
        <v>7</v>
      </c>
      <c r="AB65" s="1" t="s">
        <v>6</v>
      </c>
      <c r="AD65" s="1" t="s">
        <v>49</v>
      </c>
      <c r="AE65" s="1" t="s">
        <v>5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ASE Collision Matrix 4.0kg</vt:lpstr>
    </vt:vector>
  </TitlesOfParts>
  <Company>QCC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Moretti, David</cp:lastModifiedBy>
  <dcterms:created xsi:type="dcterms:W3CDTF">2006-12-22T03:36:12Z</dcterms:created>
  <dcterms:modified xsi:type="dcterms:W3CDTF">2018-04-10T19:53:39Z</dcterms:modified>
</cp:coreProperties>
</file>